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estdiagnostics-my.sharepoint.com/personal/daniel_e_carty_questdiagnostics_com/Documents/Desktop/Keep/Transportation Cmte/2026 meetings/02062026_documents/"/>
    </mc:Choice>
  </mc:AlternateContent>
  <xr:revisionPtr revIDLastSave="73" documentId="8_{18143861-FB0A-4EF8-8198-A8FF7C3E6F45}" xr6:coauthVersionLast="47" xr6:coauthVersionMax="47" xr10:uidLastSave="{6A37BC62-5790-4BC5-972E-ED7895026E7D}"/>
  <bookViews>
    <workbookView xWindow="28680" yWindow="-120" windowWidth="20730" windowHeight="11040" xr2:uid="{477B1B80-E3E4-46F1-A309-03E28F8D84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5" i="1" l="1"/>
  <c r="M112" i="1"/>
  <c r="I65" i="1"/>
  <c r="J65" i="1" s="1"/>
  <c r="G65" i="1"/>
  <c r="E65" i="1"/>
  <c r="B65" i="1"/>
  <c r="D65" i="1"/>
  <c r="C115" i="1" l="1"/>
  <c r="C116" i="1"/>
  <c r="C117" i="1"/>
  <c r="G64" i="1"/>
  <c r="I64" i="1" s="1"/>
  <c r="B64" i="1"/>
  <c r="D64" i="1"/>
  <c r="G63" i="1"/>
  <c r="I63" i="1" s="1"/>
  <c r="J63" i="1" s="1"/>
  <c r="D63" i="1"/>
  <c r="B63" i="1"/>
  <c r="E63" i="1" s="1"/>
  <c r="G62" i="1"/>
  <c r="I62" i="1" s="1"/>
  <c r="D62" i="1"/>
  <c r="B62" i="1"/>
  <c r="E62" i="1" s="1"/>
  <c r="J62" i="1" l="1"/>
  <c r="E64" i="1"/>
  <c r="J64" i="1" s="1"/>
  <c r="G61" i="1"/>
  <c r="I61" i="1" s="1"/>
  <c r="G60" i="1"/>
  <c r="I60" i="1" s="1"/>
  <c r="D61" i="1"/>
  <c r="D60" i="1"/>
  <c r="B61" i="1"/>
  <c r="B60" i="1"/>
  <c r="G59" i="1"/>
  <c r="I59" i="1" s="1"/>
  <c r="B59" i="1"/>
  <c r="D59" i="1"/>
  <c r="E61" i="1" l="1"/>
  <c r="J61" i="1" s="1"/>
  <c r="E60" i="1"/>
  <c r="J60" i="1"/>
  <c r="E59" i="1"/>
  <c r="J59" i="1" s="1"/>
  <c r="M105" i="1" l="1"/>
  <c r="M107" i="1" s="1"/>
  <c r="G58" i="1" l="1"/>
  <c r="I58" i="1" s="1"/>
  <c r="D58" i="1"/>
  <c r="B58" i="1"/>
  <c r="E58" i="1" l="1"/>
  <c r="J58" i="1" s="1"/>
  <c r="O105" i="1"/>
  <c r="H55" i="1"/>
  <c r="Q105" i="1" l="1"/>
  <c r="S105" i="1"/>
  <c r="I57" i="1"/>
  <c r="I56" i="1"/>
  <c r="E57" i="1"/>
  <c r="E56" i="1"/>
  <c r="G55" i="1"/>
  <c r="I55" i="1" s="1"/>
  <c r="D55" i="1"/>
  <c r="B55" i="1"/>
  <c r="J57" i="1" l="1"/>
  <c r="J56" i="1"/>
  <c r="E55" i="1"/>
  <c r="J55" i="1" s="1"/>
  <c r="H54" i="1"/>
  <c r="G54" i="1"/>
  <c r="D54" i="1"/>
  <c r="B54" i="1"/>
  <c r="I54" i="1" l="1"/>
  <c r="E54" i="1"/>
  <c r="H53" i="1"/>
  <c r="G53" i="1"/>
  <c r="B53" i="1"/>
  <c r="D53" i="1"/>
  <c r="J54" i="1" l="1"/>
  <c r="I53" i="1"/>
  <c r="E53" i="1"/>
  <c r="H52" i="1"/>
  <c r="G52" i="1"/>
  <c r="B52" i="1"/>
  <c r="D52" i="1"/>
  <c r="O107" i="1"/>
  <c r="I51" i="1"/>
  <c r="E51" i="1"/>
  <c r="J53" i="1" l="1"/>
  <c r="I52" i="1"/>
  <c r="E52" i="1"/>
  <c r="J51" i="1"/>
  <c r="H50" i="1"/>
  <c r="G50" i="1"/>
  <c r="D50" i="1"/>
  <c r="B50" i="1"/>
  <c r="J52" i="1" l="1"/>
  <c r="I50" i="1"/>
  <c r="E50" i="1"/>
  <c r="H49" i="1"/>
  <c r="G49" i="1"/>
  <c r="D49" i="1"/>
  <c r="B49" i="1"/>
  <c r="E49" i="1" l="1"/>
  <c r="J50" i="1"/>
  <c r="I49" i="1"/>
  <c r="H48" i="1"/>
  <c r="G48" i="1"/>
  <c r="D48" i="1"/>
  <c r="B48" i="1"/>
  <c r="I48" i="1" l="1"/>
  <c r="J49" i="1"/>
  <c r="E48" i="1"/>
  <c r="J48" i="1" s="1"/>
  <c r="C111" i="1" l="1"/>
  <c r="H47" i="1"/>
  <c r="G47" i="1"/>
  <c r="D47" i="1"/>
  <c r="B47" i="1"/>
  <c r="U105" i="1"/>
  <c r="H46" i="1"/>
  <c r="G46" i="1"/>
  <c r="B46" i="1"/>
  <c r="D46" i="1"/>
  <c r="G44" i="1"/>
  <c r="I45" i="1"/>
  <c r="E45" i="1"/>
  <c r="H44" i="1"/>
  <c r="D44" i="1"/>
  <c r="B44" i="1"/>
  <c r="D43" i="1"/>
  <c r="B43" i="1"/>
  <c r="H43" i="1"/>
  <c r="E47" i="1" l="1"/>
  <c r="E46" i="1"/>
  <c r="I47" i="1"/>
  <c r="I46" i="1"/>
  <c r="I44" i="1"/>
  <c r="J45" i="1"/>
  <c r="E44" i="1"/>
  <c r="J46" i="1" l="1"/>
  <c r="J47" i="1"/>
  <c r="J44" i="1"/>
  <c r="H42" i="1"/>
  <c r="G43" i="1"/>
  <c r="W105" i="1"/>
  <c r="U107" i="1"/>
  <c r="J105" i="1" l="1"/>
  <c r="I42" i="1"/>
  <c r="E42" i="1"/>
  <c r="I43" i="1"/>
  <c r="E43" i="1"/>
  <c r="J42" i="1" l="1"/>
  <c r="J43" i="1"/>
  <c r="H41" i="1" l="1"/>
  <c r="I41" i="1" s="1"/>
  <c r="H40" i="1"/>
  <c r="H39" i="1"/>
  <c r="H38" i="1"/>
  <c r="H37" i="1"/>
  <c r="H36" i="1"/>
  <c r="H35" i="1"/>
  <c r="H34" i="1"/>
  <c r="H33" i="1"/>
  <c r="H32" i="1"/>
  <c r="H31" i="1"/>
  <c r="E41" i="1"/>
  <c r="J41" i="1" l="1"/>
  <c r="I40" i="1" l="1"/>
  <c r="E40" i="1"/>
  <c r="J40" i="1" l="1"/>
  <c r="I39" i="1"/>
  <c r="E39" i="1"/>
  <c r="J39" i="1" l="1"/>
  <c r="I38" i="1" l="1"/>
  <c r="E38" i="1"/>
  <c r="J38" i="1" l="1"/>
  <c r="I37" i="1"/>
  <c r="E37" i="1"/>
  <c r="I36" i="1"/>
  <c r="E36" i="1"/>
  <c r="I35" i="1"/>
  <c r="E35" i="1"/>
  <c r="E34" i="1"/>
  <c r="E33" i="1"/>
  <c r="I34" i="1"/>
  <c r="I33" i="1"/>
  <c r="J34" i="1" l="1"/>
  <c r="J35" i="1"/>
  <c r="J37" i="1"/>
  <c r="J33" i="1"/>
  <c r="J36" i="1"/>
  <c r="I6" i="1"/>
  <c r="I5" i="1"/>
  <c r="I4" i="1"/>
  <c r="I3" i="1"/>
  <c r="I2" i="1"/>
  <c r="I32" i="1"/>
  <c r="I31" i="1" l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E4" i="1"/>
  <c r="J4" i="1" s="1"/>
  <c r="E20" i="1"/>
  <c r="E23" i="1"/>
  <c r="E24" i="1"/>
  <c r="E25" i="1"/>
  <c r="E26" i="1"/>
  <c r="E27" i="1"/>
  <c r="E28" i="1"/>
  <c r="E30" i="1"/>
  <c r="E31" i="1"/>
  <c r="E32" i="1"/>
  <c r="E3" i="1"/>
  <c r="J3" i="1" s="1"/>
  <c r="E2" i="1"/>
  <c r="J2" i="1" s="1"/>
  <c r="J28" i="1" l="1"/>
  <c r="J26" i="1"/>
  <c r="J32" i="1"/>
  <c r="J27" i="1"/>
  <c r="J31" i="1"/>
  <c r="J23" i="1"/>
  <c r="J25" i="1"/>
  <c r="J24" i="1"/>
  <c r="J20" i="1"/>
  <c r="J30" i="1"/>
  <c r="D29" i="1"/>
  <c r="E29" i="1" s="1"/>
  <c r="J29" i="1" s="1"/>
  <c r="Y21" i="1"/>
  <c r="Y105" i="1" s="1"/>
  <c r="W107" i="1" l="1"/>
  <c r="Y107" i="1" l="1"/>
  <c r="S107" i="1" l="1"/>
  <c r="M113" i="1" s="1"/>
  <c r="M115" i="1" s="1"/>
  <c r="M116" i="1" s="1"/>
  <c r="M117" i="1" s="1"/>
  <c r="AE37" i="1"/>
  <c r="AE32" i="1" l="1"/>
  <c r="D22" i="1"/>
  <c r="E22" i="1" s="1"/>
  <c r="J22" i="1" s="1"/>
  <c r="AE30" i="1" l="1"/>
  <c r="D21" i="1"/>
  <c r="E21" i="1" s="1"/>
  <c r="J21" i="1" s="1"/>
  <c r="AE27" i="1" l="1"/>
  <c r="AE34" i="1" l="1"/>
  <c r="AB1" i="1" l="1"/>
  <c r="AB20" i="1" l="1"/>
  <c r="D19" i="1"/>
  <c r="E19" i="1" s="1"/>
  <c r="J19" i="1" s="1"/>
  <c r="AB17" i="1" l="1"/>
  <c r="D18" i="1"/>
  <c r="E18" i="1" s="1"/>
  <c r="J18" i="1" s="1"/>
  <c r="D16" i="1" l="1"/>
  <c r="E16" i="1" s="1"/>
  <c r="J16" i="1" s="1"/>
  <c r="AE22" i="1" l="1"/>
  <c r="D17" i="1"/>
  <c r="E17" i="1" s="1"/>
  <c r="J17" i="1" s="1"/>
  <c r="AE20" i="1" l="1"/>
  <c r="AE18" i="1" l="1"/>
  <c r="AE23" i="1" s="1"/>
  <c r="AE24" i="1" s="1"/>
  <c r="D15" i="1"/>
  <c r="E15" i="1" s="1"/>
  <c r="J15" i="1" s="1"/>
  <c r="D14" i="1" l="1"/>
  <c r="E14" i="1" s="1"/>
  <c r="J14" i="1" s="1"/>
  <c r="D13" i="1"/>
  <c r="E13" i="1" s="1"/>
  <c r="J13" i="1" s="1"/>
  <c r="AE8" i="1"/>
  <c r="AE10" i="1" l="1"/>
  <c r="AK9" i="1"/>
  <c r="D10" i="1" l="1"/>
  <c r="E10" i="1" s="1"/>
  <c r="J10" i="1" s="1"/>
  <c r="D12" i="1"/>
  <c r="E12" i="1" s="1"/>
  <c r="J12" i="1" s="1"/>
  <c r="AE2" i="1" l="1"/>
  <c r="AE6" i="1"/>
  <c r="AE4" i="1" l="1"/>
  <c r="AE12" i="1" s="1"/>
  <c r="AE13" i="1" s="1"/>
  <c r="D11" i="1"/>
  <c r="E11" i="1" s="1"/>
  <c r="J11" i="1" s="1"/>
  <c r="D9" i="1" l="1"/>
  <c r="E9" i="1" s="1"/>
  <c r="J9" i="1" s="1"/>
  <c r="D8" i="1"/>
  <c r="E8" i="1" s="1"/>
  <c r="J8" i="1" s="1"/>
  <c r="D7" i="1"/>
  <c r="E7" i="1" s="1"/>
  <c r="J7" i="1" s="1"/>
  <c r="D6" i="1"/>
  <c r="E6" i="1" s="1"/>
  <c r="J6" i="1" s="1"/>
  <c r="D5" i="1"/>
  <c r="E5" i="1" s="1"/>
  <c r="J5" i="1" s="1"/>
  <c r="AB5" i="1"/>
  <c r="AB4" i="1"/>
  <c r="AB3" i="1"/>
  <c r="AB2" i="1"/>
  <c r="AH6" i="1"/>
  <c r="AH5" i="1"/>
  <c r="AH4" i="1"/>
  <c r="AH2" i="1"/>
  <c r="AN6" i="1"/>
  <c r="AN5" i="1"/>
  <c r="AB27" i="1" l="1"/>
  <c r="AB28" i="1" s="1"/>
  <c r="AN7" i="1"/>
  <c r="AH7" i="1"/>
  <c r="AH8" i="1" s="1"/>
</calcChain>
</file>

<file path=xl/sharedStrings.xml><?xml version="1.0" encoding="utf-8"?>
<sst xmlns="http://schemas.openxmlformats.org/spreadsheetml/2006/main" count="320" uniqueCount="281">
  <si>
    <t>Tommy's Taxi Invoices</t>
  </si>
  <si>
    <t>JFK Invoices</t>
  </si>
  <si>
    <t>Uber Invoices</t>
  </si>
  <si>
    <t>MAPC Grant 1</t>
  </si>
  <si>
    <t>MAPC Grant 2 (Part 1)</t>
  </si>
  <si>
    <t>Meadow Walk Mitigation</t>
  </si>
  <si>
    <t>Coolidge Mitigation ($10,000)</t>
  </si>
  <si>
    <t>JFK May-21</t>
  </si>
  <si>
    <t>Tommy's May-21</t>
  </si>
  <si>
    <t>Tommy's Jun-21</t>
  </si>
  <si>
    <t>JFK Jul-21</t>
  </si>
  <si>
    <t>Tommy's Jul-21</t>
  </si>
  <si>
    <t>$20,000 voted at SB on 3/17/20</t>
  </si>
  <si>
    <t>$5,000 voted at SB on 3/2/21</t>
  </si>
  <si>
    <t>$10,000 voted at Transportation on 2/5/21</t>
  </si>
  <si>
    <t>JFK Jun-21</t>
  </si>
  <si>
    <t>JFK Aug-21</t>
  </si>
  <si>
    <t>Tommy's Aug-21</t>
  </si>
  <si>
    <t>JFK Sep-21</t>
  </si>
  <si>
    <t>Tommy's Sep-21</t>
  </si>
  <si>
    <t>JFK Oct-21</t>
  </si>
  <si>
    <t>see above</t>
  </si>
  <si>
    <t>BayPath Grant 2 ($2,000)</t>
  </si>
  <si>
    <t>BayPath Grant 1 ($3,000)</t>
  </si>
  <si>
    <t>MAPC Grant 2 (Part 2)</t>
  </si>
  <si>
    <t>JFK Nov-21</t>
  </si>
  <si>
    <t>Tommy's Oct-21</t>
  </si>
  <si>
    <t>Tommy's Nov-21</t>
  </si>
  <si>
    <t>JFK Dec-21</t>
  </si>
  <si>
    <t>Tommy's Dec-21</t>
  </si>
  <si>
    <t>Rollover from Part 1</t>
  </si>
  <si>
    <t>$35,000 voted at SB on 11/16/21</t>
  </si>
  <si>
    <t>**Only $46,366 remaining per email from Christine on 11/15/21***</t>
  </si>
  <si>
    <t>JFK Dec-21 Rollover</t>
  </si>
  <si>
    <t>Uber Jan-22</t>
  </si>
  <si>
    <t>JFK Jan-22</t>
  </si>
  <si>
    <t>Tommy's Jan-22</t>
  </si>
  <si>
    <t>Uber Feb-22</t>
  </si>
  <si>
    <t>JFK Feb-22</t>
  </si>
  <si>
    <t>Tommy's Feb-22</t>
  </si>
  <si>
    <t>Uber Mar-22</t>
  </si>
  <si>
    <t>JFK Mar-22</t>
  </si>
  <si>
    <t>Tommy's Mar-22</t>
  </si>
  <si>
    <t>Uber Apr-22</t>
  </si>
  <si>
    <t>JFK Apr-22</t>
  </si>
  <si>
    <t>Tommy's Apr-22</t>
  </si>
  <si>
    <t>Uber May-22</t>
  </si>
  <si>
    <t>JFK May-22</t>
  </si>
  <si>
    <t>Tommy's May-22</t>
  </si>
  <si>
    <t>Uber Jun-22</t>
  </si>
  <si>
    <t>JFK Jun-22</t>
  </si>
  <si>
    <t>Tommy's Jun-22</t>
  </si>
  <si>
    <t>NOTES:</t>
  </si>
  <si>
    <t>Dispatch vote: 4/9/2021</t>
  </si>
  <si>
    <t>$4,950 for year, $3,267 prorated 2021 (May-Dec 2021)</t>
  </si>
  <si>
    <t>MAPC Grant 2 Additional</t>
  </si>
  <si>
    <t>$11,366 voted at SB on 3/22/22 (No further Funds Remaining)</t>
  </si>
  <si>
    <t>2022 ATM - Article 14</t>
  </si>
  <si>
    <t>Dispatch Charges</t>
  </si>
  <si>
    <t>July 21 - June 22</t>
  </si>
  <si>
    <t>May 21 - June 21</t>
  </si>
  <si>
    <t>July 21 - June 22 Dispatch</t>
  </si>
  <si>
    <t>(+$1,250 for dispatch May 2021 - June 2022)</t>
  </si>
  <si>
    <t>(+1,666 for dispatch May 2021 - June 2022)</t>
  </si>
  <si>
    <t>Stow Return to MassDevelopment</t>
  </si>
  <si>
    <t>Total Return Amount to MassDevelopment</t>
  </si>
  <si>
    <t>Sudbury Return to MassDevelopment ($2,510.30)</t>
  </si>
  <si>
    <t>Uber Jul-22</t>
  </si>
  <si>
    <t>Uber Jul-22 Rollover</t>
  </si>
  <si>
    <t>JFK Jul-22</t>
  </si>
  <si>
    <t>Tommy's Jul-22</t>
  </si>
  <si>
    <t>JFK Aug-22</t>
  </si>
  <si>
    <t>Tommy's Aug-22</t>
  </si>
  <si>
    <t>Uber Aug-22</t>
  </si>
  <si>
    <t>Uber Sep-22</t>
  </si>
  <si>
    <t>JFK Sep-22</t>
  </si>
  <si>
    <t>Tommy's Sep-22</t>
  </si>
  <si>
    <t>Uber Oct-22</t>
  </si>
  <si>
    <t>JFK Oct-22</t>
  </si>
  <si>
    <t>Tommy's Oct-22</t>
  </si>
  <si>
    <t>Uber Nov-22</t>
  </si>
  <si>
    <t>JFK Nov-22</t>
  </si>
  <si>
    <t>Tommy's Nov-22</t>
  </si>
  <si>
    <t>Uber Dec-22</t>
  </si>
  <si>
    <t>JFK Dec-22</t>
  </si>
  <si>
    <t>Tommy's Dec-22</t>
  </si>
  <si>
    <t>Emergency Fund: $1,000 vote on 9/7/22</t>
  </si>
  <si>
    <t>MassDevelopment</t>
  </si>
  <si>
    <t>Uber Jan-23</t>
  </si>
  <si>
    <t>Uber Feb-23</t>
  </si>
  <si>
    <t>Uber Mar-23</t>
  </si>
  <si>
    <t>JFK Jan-23</t>
  </si>
  <si>
    <t>Tommy's Jan-23</t>
  </si>
  <si>
    <t>JFK Feb-23</t>
  </si>
  <si>
    <t>Tommy's Feb-23</t>
  </si>
  <si>
    <t>JFK Mar-23</t>
  </si>
  <si>
    <t>Tommy's Mar-23</t>
  </si>
  <si>
    <t>JFK Apr-23</t>
  </si>
  <si>
    <t>Tommy's Apr-23</t>
  </si>
  <si>
    <t>JFK May-23</t>
  </si>
  <si>
    <t>Tommy's May-23</t>
  </si>
  <si>
    <t>Uber Apr-23</t>
  </si>
  <si>
    <t>Uber May-23</t>
  </si>
  <si>
    <t>Annex Invoices</t>
  </si>
  <si>
    <t>Annex Feb-23</t>
  </si>
  <si>
    <t>Annex Mar-23</t>
  </si>
  <si>
    <t>Annex Apr-23</t>
  </si>
  <si>
    <t>Annex May-23</t>
  </si>
  <si>
    <t>REMAINING</t>
  </si>
  <si>
    <t># months funding remaining</t>
  </si>
  <si>
    <t>Estimated $0 balance</t>
  </si>
  <si>
    <t>Total Taxi</t>
  </si>
  <si>
    <t>March 2021 Go Sudbury Taxi suspended except for COVID vaccination rides</t>
  </si>
  <si>
    <t>July 2022 = We had all riders re-subscribe; changed from 50+ to 60+</t>
  </si>
  <si>
    <t>Feb 1 2023 = Ride limits reduced to 4 Taxi and 6 Uber / mo</t>
  </si>
  <si>
    <t>Feb 2023  Annex pilot began, first charges rec'd</t>
  </si>
  <si>
    <t>Uber + Annex</t>
  </si>
  <si>
    <t>Taxi</t>
  </si>
  <si>
    <t>Uber</t>
  </si>
  <si>
    <t>Total</t>
  </si>
  <si>
    <t>Mar 2023 - Uber rides increased to 10/mo, taxi remains 6/mo</t>
  </si>
  <si>
    <t>TOTAL SPEND</t>
  </si>
  <si>
    <t>JFK Jun-23</t>
  </si>
  <si>
    <t>Tommy's Jun-23</t>
  </si>
  <si>
    <t>Annex Jun-23</t>
  </si>
  <si>
    <t>Uber Jun-23</t>
  </si>
  <si>
    <t>July 22 - June 23 Dispatch</t>
  </si>
  <si>
    <t>2023 ATM - Article 14</t>
  </si>
  <si>
    <t>July 22 - June 23</t>
  </si>
  <si>
    <t>Uber -July-23</t>
  </si>
  <si>
    <t>Annex July-23</t>
  </si>
  <si>
    <t>July 2023 - Began using ATM2023/FY2024 funding for Uber changes</t>
  </si>
  <si>
    <t>Tommy's July -23</t>
  </si>
  <si>
    <t>JFK July-23</t>
  </si>
  <si>
    <t>Tommy's August-23</t>
  </si>
  <si>
    <t>JFK August-23</t>
  </si>
  <si>
    <t>Annex August-23</t>
  </si>
  <si>
    <t>Uber - Aug-23</t>
  </si>
  <si>
    <t>Annex - Aug-23</t>
  </si>
  <si>
    <t>Uber Sept-23</t>
  </si>
  <si>
    <t>Annex Sept-23</t>
  </si>
  <si>
    <t>Tommy's Sept-23</t>
  </si>
  <si>
    <t>JFK Sept-23</t>
  </si>
  <si>
    <t>Tommy's Oct-23</t>
  </si>
  <si>
    <t>JFK Oct-23</t>
  </si>
  <si>
    <t>Annex Oct-23</t>
  </si>
  <si>
    <t>Uber Oct-23</t>
  </si>
  <si>
    <t>Uber Nov-23</t>
  </si>
  <si>
    <t>Annex Nov-23</t>
  </si>
  <si>
    <t>Tommy's Nov-23</t>
  </si>
  <si>
    <t>JFK Nov-23</t>
  </si>
  <si>
    <t># signed up in both programs</t>
  </si>
  <si>
    <t># unique individuals enrolled</t>
  </si>
  <si>
    <t>Uber Dec-23</t>
  </si>
  <si>
    <t>Annex  Dec-23</t>
  </si>
  <si>
    <t>Tommy's Dec-23</t>
  </si>
  <si>
    <t>JFK Dec-23</t>
  </si>
  <si>
    <t>Annex Dec-23</t>
  </si>
  <si>
    <t>Uber Jan-24</t>
  </si>
  <si>
    <t>Annex Jan-24</t>
  </si>
  <si>
    <t>Tommy's-Jan24</t>
  </si>
  <si>
    <t>JFK-Jan24</t>
  </si>
  <si>
    <t>Sept 2023 - Increased ride caps take effect (10 Uber, 10 Taxi)</t>
  </si>
  <si>
    <t>Go Sudbury! Earmark Funds #1</t>
  </si>
  <si>
    <t>Uber Feb-24</t>
  </si>
  <si>
    <t>Annex Feb-24</t>
  </si>
  <si>
    <t>Tommy's Feb24</t>
  </si>
  <si>
    <t>Tommy's-Feb24</t>
  </si>
  <si>
    <t>JFK-Feb24</t>
  </si>
  <si>
    <t>Town of Acton Dispatch FY24</t>
  </si>
  <si>
    <t>JFK-Feb 24</t>
  </si>
  <si>
    <t>JFK Mar-24</t>
  </si>
  <si>
    <t>Tommy's Mar-24</t>
  </si>
  <si>
    <t>Annex Mar-24</t>
  </si>
  <si>
    <t>JFK Apr-24</t>
  </si>
  <si>
    <t>Tommy's Apr-24</t>
  </si>
  <si>
    <t>Annex Apr-24</t>
  </si>
  <si>
    <t>JFK May-24</t>
  </si>
  <si>
    <t>Tommy's May-24</t>
  </si>
  <si>
    <t>Annex May-24</t>
  </si>
  <si>
    <t>Uber Mar-24</t>
  </si>
  <si>
    <t>Uber  Apr-24</t>
  </si>
  <si>
    <t>Feb 2024 - Began using State Earmark funds</t>
  </si>
  <si>
    <t>Uber May-24</t>
  </si>
  <si>
    <t>JFK June-24</t>
  </si>
  <si>
    <t>Tommy's June-24</t>
  </si>
  <si>
    <t>Uber Jun-24</t>
  </si>
  <si>
    <t>Annex Jun-24</t>
  </si>
  <si>
    <t>JFK-July 24</t>
  </si>
  <si>
    <t>Tommy's-July 24</t>
  </si>
  <si>
    <t>Uber-July 24</t>
  </si>
  <si>
    <t>Annex-July 24</t>
  </si>
  <si>
    <t>Sept 2024  Ride caps reduced to 6/mo taxi and 4/mo uber</t>
  </si>
  <si>
    <t>JFK-August 24</t>
  </si>
  <si>
    <t>Tommy's-August 24</t>
  </si>
  <si>
    <t>Uber-August 24</t>
  </si>
  <si>
    <t>Annex-August 24</t>
  </si>
  <si>
    <t>JFK-September 24</t>
  </si>
  <si>
    <t>Uber-September 24</t>
  </si>
  <si>
    <t xml:space="preserve"> Annex Sept 24</t>
  </si>
  <si>
    <t>JFK-Jan-24</t>
  </si>
  <si>
    <t>Tommy's Sep-24</t>
  </si>
  <si>
    <t>JFK-Oct 24</t>
  </si>
  <si>
    <t>Tommy's-Oct 24</t>
  </si>
  <si>
    <t>Uber-Oct 24</t>
  </si>
  <si>
    <t>Annex-Oct 24</t>
  </si>
  <si>
    <t>Nov 2024  Ride caps reduced to 4/mo taxi</t>
  </si>
  <si>
    <t>2024 ARPA Allocation</t>
  </si>
  <si>
    <t>TOTAL FUNDS REMAINING</t>
  </si>
  <si>
    <t>Go Sudbury! Earmark Funds #2</t>
  </si>
  <si>
    <t>JFK-Nov 24</t>
  </si>
  <si>
    <t>Tommy's-Nov 24</t>
  </si>
  <si>
    <t>Uber-Nov 24</t>
  </si>
  <si>
    <t>Annex-Nov 24</t>
  </si>
  <si>
    <t>JFK-Dec 24</t>
  </si>
  <si>
    <t>Tommy's-Dec 24</t>
  </si>
  <si>
    <t>Uber-Dec 24</t>
  </si>
  <si>
    <t>Annex-Dec 24</t>
  </si>
  <si>
    <t>JKF-Jan 25</t>
  </si>
  <si>
    <t>Tommy's- Jan 25</t>
  </si>
  <si>
    <t>Uber- Jan 25</t>
  </si>
  <si>
    <t>Annex-Jan 25</t>
  </si>
  <si>
    <t>JFK- Feb 25</t>
  </si>
  <si>
    <t>Tommy's- Feb 25</t>
  </si>
  <si>
    <t>Uber- Feb 25</t>
  </si>
  <si>
    <t>Annex- Feb 25</t>
  </si>
  <si>
    <t>JFK- Mar 25</t>
  </si>
  <si>
    <t>Town of Acton- Jan 25</t>
  </si>
  <si>
    <t>Uber-Feb-25</t>
  </si>
  <si>
    <t>Tommy's Taxi-Mar25</t>
  </si>
  <si>
    <t>Uber Mar-25</t>
  </si>
  <si>
    <t>JFK Apr-25</t>
  </si>
  <si>
    <t>Uber Apr-25</t>
  </si>
  <si>
    <t>Tommy's-Apr25</t>
  </si>
  <si>
    <t>JFK May-25</t>
  </si>
  <si>
    <t>Uber May-25</t>
  </si>
  <si>
    <t>Tommy's May-25</t>
  </si>
  <si>
    <t>JFK Jun-25</t>
  </si>
  <si>
    <t>Uber Jun-25</t>
  </si>
  <si>
    <t>Tommy's Jun-25</t>
  </si>
  <si>
    <t>2025 State Earmark</t>
  </si>
  <si>
    <t>Jan 2025</t>
  </si>
  <si>
    <t>JFK Jul-25</t>
  </si>
  <si>
    <t>Uber Jul-25</t>
  </si>
  <si>
    <t>Tommy's Jul-25</t>
  </si>
  <si>
    <t>JFK Aug-25</t>
  </si>
  <si>
    <t>Uber Aug-25</t>
  </si>
  <si>
    <t>Tommy's Aug-25</t>
  </si>
  <si>
    <t>Aug 31 2024   End of GoSudbury! program, start of GoSudbury! 2.0</t>
  </si>
  <si>
    <t>Enrollment through 8/31/2025</t>
  </si>
  <si>
    <t>Uber Program</t>
  </si>
  <si>
    <t>Taxi Rides</t>
  </si>
  <si>
    <t>(1 new in July, 5 August)</t>
  </si>
  <si>
    <t>(2 new in July, 4 August)</t>
  </si>
  <si>
    <t>Uber Vouchers granted, Sept 2025</t>
  </si>
  <si>
    <t>JFK Sept-25</t>
  </si>
  <si>
    <t>Uber Sept-25</t>
  </si>
  <si>
    <t>Tommy's Sept-25</t>
  </si>
  <si>
    <t>JFK Oct-25</t>
  </si>
  <si>
    <t>Uber Oct-25</t>
  </si>
  <si>
    <t>Tommy's Oct-25</t>
  </si>
  <si>
    <t>JFK Nov-25</t>
  </si>
  <si>
    <t>Uber Nov-25</t>
  </si>
  <si>
    <t>Tommy's Nov-25</t>
  </si>
  <si>
    <t>Average monthly spend over last 12 months thru Nov2025</t>
  </si>
  <si>
    <t>AMOUNT DUE CATCH CONNECT</t>
  </si>
  <si>
    <t>FUNDING AVAILABLE FOR UBER/TAXI</t>
  </si>
  <si>
    <t>Uber Vouchers granted, Oct 2025</t>
  </si>
  <si>
    <t>Uber Vouchers granted, Nov 2025</t>
  </si>
  <si>
    <t>Not used</t>
  </si>
  <si>
    <t>Used in full</t>
  </si>
  <si>
    <t>partial used</t>
  </si>
  <si>
    <t>28,800?</t>
  </si>
  <si>
    <t>Uber Vouchers granted, Dec 2025</t>
  </si>
  <si>
    <t>JFK Dec-25</t>
  </si>
  <si>
    <t>Uber Dec-25</t>
  </si>
  <si>
    <t>Tommy's Dec-25</t>
  </si>
  <si>
    <r>
      <t>Avg Uber/Annex/</t>
    </r>
    <r>
      <rPr>
        <b/>
        <u/>
        <sz val="11"/>
        <color theme="1"/>
        <rFont val="Calibri"/>
        <family val="2"/>
        <scheme val="minor"/>
      </rPr>
      <t>Taxi</t>
    </r>
    <r>
      <rPr>
        <b/>
        <sz val="11"/>
        <color theme="1"/>
        <rFont val="Calibri"/>
        <family val="2"/>
        <scheme val="minor"/>
      </rPr>
      <t>, last 4 months</t>
    </r>
  </si>
  <si>
    <t>Enrollment in Go Sudbury Voucher progarm through 12/31/2025</t>
  </si>
  <si>
    <t>(50 Aug, 22 Sept, 11 Oct, 7 Nov, 7 Dec)</t>
  </si>
  <si>
    <t>Last 12 month total spend thru Dec2025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</si>
</sst>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164" fontId="0" fillId="0" borderId="0" xfId="0" applyNumberFormat="1"/>
    <xf numFmtId="165" fontId="3" fillId="0" borderId="0" xfId="0" applyNumberFormat="1" applyFont="1"/>
    <xf numFmtId="5" fontId="3" fillId="0" borderId="0" xfId="1" applyNumberFormat="1" applyFont="1"/>
    <xf numFmtId="164" fontId="2" fillId="0" borderId="0" xfId="0" applyNumberFormat="1" applyFont="1"/>
    <xf numFmtId="0" fontId="0" fillId="0" borderId="0" xfId="0" applyAlignment="1">
      <alignment horizontal="right"/>
    </xf>
    <xf numFmtId="164" fontId="4" fillId="0" borderId="0" xfId="0" applyNumberFormat="1" applyFont="1"/>
    <xf numFmtId="0" fontId="5" fillId="0" borderId="0" xfId="0" applyFont="1"/>
    <xf numFmtId="7" fontId="0" fillId="0" borderId="0" xfId="0" applyNumberFormat="1"/>
    <xf numFmtId="0" fontId="4" fillId="0" borderId="0" xfId="0" applyFont="1"/>
    <xf numFmtId="4" fontId="4" fillId="0" borderId="0" xfId="0" applyNumberFormat="1" applyFont="1"/>
    <xf numFmtId="165" fontId="4" fillId="0" borderId="0" xfId="0" applyNumberFormat="1" applyFont="1"/>
    <xf numFmtId="8" fontId="8" fillId="0" borderId="0" xfId="0" applyNumberFormat="1" applyFont="1" applyAlignment="1">
      <alignment horizontal="right"/>
    </xf>
    <xf numFmtId="6" fontId="3" fillId="0" borderId="0" xfId="0" applyNumberFormat="1" applyFont="1"/>
    <xf numFmtId="164" fontId="0" fillId="0" borderId="0" xfId="0" applyNumberFormat="1" applyAlignment="1">
      <alignment horizontal="left"/>
    </xf>
    <xf numFmtId="164" fontId="3" fillId="0" borderId="0" xfId="0" applyNumberFormat="1" applyFont="1"/>
    <xf numFmtId="164" fontId="0" fillId="2" borderId="0" xfId="0" applyNumberFormat="1" applyFill="1"/>
    <xf numFmtId="0" fontId="0" fillId="2" borderId="0" xfId="0" applyFill="1"/>
    <xf numFmtId="17" fontId="5" fillId="0" borderId="0" xfId="0" applyNumberFormat="1" applyFont="1"/>
    <xf numFmtId="164" fontId="5" fillId="2" borderId="0" xfId="0" applyNumberFormat="1" applyFont="1" applyFill="1"/>
    <xf numFmtId="164" fontId="5" fillId="0" borderId="0" xfId="0" applyNumberFormat="1" applyFont="1"/>
    <xf numFmtId="0" fontId="3" fillId="3" borderId="0" xfId="0" applyFont="1" applyFill="1"/>
    <xf numFmtId="164" fontId="0" fillId="3" borderId="0" xfId="0" applyNumberFormat="1" applyFill="1"/>
    <xf numFmtId="0" fontId="0" fillId="3" borderId="0" xfId="0" applyFill="1" applyAlignment="1">
      <alignment horizontal="right"/>
    </xf>
    <xf numFmtId="164" fontId="2" fillId="3" borderId="0" xfId="0" applyNumberFormat="1" applyFont="1" applyFill="1"/>
    <xf numFmtId="0" fontId="5" fillId="3" borderId="0" xfId="0" applyFont="1" applyFill="1" applyAlignment="1">
      <alignment horizontal="right"/>
    </xf>
    <xf numFmtId="0" fontId="0" fillId="3" borderId="0" xfId="0" applyFill="1"/>
    <xf numFmtId="0" fontId="5" fillId="3" borderId="0" xfId="0" applyFont="1" applyFill="1"/>
    <xf numFmtId="5" fontId="3" fillId="3" borderId="0" xfId="1" applyNumberFormat="1" applyFont="1" applyFill="1" applyAlignment="1">
      <alignment horizontal="right"/>
    </xf>
    <xf numFmtId="17" fontId="0" fillId="3" borderId="0" xfId="0" applyNumberFormat="1" applyFill="1"/>
    <xf numFmtId="164" fontId="0" fillId="3" borderId="1" xfId="0" applyNumberFormat="1" applyFill="1" applyBorder="1"/>
    <xf numFmtId="8" fontId="2" fillId="3" borderId="0" xfId="0" applyNumberFormat="1" applyFont="1" applyFill="1"/>
    <xf numFmtId="165" fontId="3" fillId="3" borderId="0" xfId="0" applyNumberFormat="1" applyFont="1" applyFill="1"/>
    <xf numFmtId="164" fontId="4" fillId="3" borderId="0" xfId="0" applyNumberFormat="1" applyFont="1" applyFill="1"/>
    <xf numFmtId="164" fontId="7" fillId="3" borderId="0" xfId="0" applyNumberFormat="1" applyFont="1" applyFill="1"/>
    <xf numFmtId="164" fontId="2" fillId="3" borderId="1" xfId="0" applyNumberFormat="1" applyFont="1" applyFill="1" applyBorder="1"/>
    <xf numFmtId="6" fontId="2" fillId="3" borderId="0" xfId="0" applyNumberFormat="1" applyFont="1" applyFill="1"/>
    <xf numFmtId="164" fontId="0" fillId="3" borderId="0" xfId="0" applyNumberFormat="1" applyFill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0" xfId="0" applyFont="1" applyFill="1"/>
    <xf numFmtId="4" fontId="0" fillId="0" borderId="0" xfId="0" applyNumberFormat="1"/>
    <xf numFmtId="164" fontId="0" fillId="4" borderId="0" xfId="0" applyNumberFormat="1" applyFill="1"/>
    <xf numFmtId="164" fontId="5" fillId="3" borderId="1" xfId="0" applyNumberFormat="1" applyFont="1" applyFill="1" applyBorder="1"/>
    <xf numFmtId="164" fontId="5" fillId="0" borderId="0" xfId="0" applyNumberFormat="1" applyFont="1" applyAlignment="1">
      <alignment horizontal="left"/>
    </xf>
    <xf numFmtId="164" fontId="6" fillId="0" borderId="0" xfId="0" applyNumberFormat="1" applyFont="1"/>
    <xf numFmtId="17" fontId="5" fillId="4" borderId="0" xfId="0" applyNumberFormat="1" applyFont="1" applyFill="1"/>
    <xf numFmtId="164" fontId="5" fillId="4" borderId="0" xfId="0" applyNumberFormat="1" applyFont="1" applyFill="1"/>
    <xf numFmtId="0" fontId="0" fillId="4" borderId="0" xfId="0" applyFill="1"/>
    <xf numFmtId="17" fontId="0" fillId="4" borderId="0" xfId="0" applyNumberFormat="1" applyFill="1"/>
    <xf numFmtId="17" fontId="5" fillId="2" borderId="0" xfId="0" applyNumberFormat="1" applyFont="1" applyFill="1"/>
    <xf numFmtId="14" fontId="0" fillId="0" borderId="0" xfId="0" applyNumberFormat="1"/>
    <xf numFmtId="0" fontId="0" fillId="2" borderId="0" xfId="0" applyFill="1" applyAlignment="1">
      <alignment horizontal="right"/>
    </xf>
    <xf numFmtId="166" fontId="0" fillId="2" borderId="0" xfId="0" applyNumberFormat="1" applyFill="1"/>
    <xf numFmtId="17" fontId="0" fillId="2" borderId="0" xfId="0" applyNumberFormat="1" applyFill="1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2" borderId="4" xfId="0" applyFill="1" applyBorder="1" applyAlignment="1">
      <alignment horizontal="right"/>
    </xf>
    <xf numFmtId="166" fontId="0" fillId="0" borderId="0" xfId="0" applyNumberFormat="1"/>
    <xf numFmtId="17" fontId="0" fillId="0" borderId="0" xfId="0" applyNumberFormat="1"/>
    <xf numFmtId="0" fontId="3" fillId="3" borderId="2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164" fontId="0" fillId="3" borderId="4" xfId="0" applyNumberFormat="1" applyFill="1" applyBorder="1"/>
    <xf numFmtId="164" fontId="0" fillId="3" borderId="5" xfId="0" applyNumberFormat="1" applyFill="1" applyBorder="1"/>
    <xf numFmtId="164" fontId="0" fillId="3" borderId="4" xfId="0" applyNumberFormat="1" applyFill="1" applyBorder="1" applyAlignment="1">
      <alignment horizontal="left"/>
    </xf>
    <xf numFmtId="0" fontId="5" fillId="3" borderId="4" xfId="0" applyFont="1" applyFill="1" applyBorder="1"/>
    <xf numFmtId="0" fontId="5" fillId="3" borderId="5" xfId="0" applyFont="1" applyFill="1" applyBorder="1"/>
    <xf numFmtId="0" fontId="5" fillId="3" borderId="4" xfId="0" applyFont="1" applyFill="1" applyBorder="1" applyAlignment="1">
      <alignment horizontal="right"/>
    </xf>
    <xf numFmtId="164" fontId="5" fillId="3" borderId="5" xfId="0" applyNumberFormat="1" applyFont="1" applyFill="1" applyBorder="1"/>
    <xf numFmtId="0" fontId="5" fillId="3" borderId="6" xfId="0" applyFont="1" applyFill="1" applyBorder="1"/>
    <xf numFmtId="164" fontId="6" fillId="3" borderId="7" xfId="0" applyNumberFormat="1" applyFont="1" applyFill="1" applyBorder="1"/>
    <xf numFmtId="0" fontId="3" fillId="3" borderId="2" xfId="0" applyFont="1" applyFill="1" applyBorder="1"/>
    <xf numFmtId="6" fontId="3" fillId="3" borderId="3" xfId="0" applyNumberFormat="1" applyFont="1" applyFill="1" applyBorder="1"/>
    <xf numFmtId="0" fontId="0" fillId="3" borderId="4" xfId="0" applyFill="1" applyBorder="1" applyAlignment="1">
      <alignment horizontal="right"/>
    </xf>
    <xf numFmtId="164" fontId="0" fillId="3" borderId="4" xfId="0" applyNumberFormat="1" applyFill="1" applyBorder="1" applyAlignment="1">
      <alignment horizontal="right"/>
    </xf>
    <xf numFmtId="164" fontId="0" fillId="3" borderId="8" xfId="0" applyNumberFormat="1" applyFill="1" applyBorder="1"/>
    <xf numFmtId="164" fontId="0" fillId="3" borderId="4" xfId="0" applyNumberFormat="1" applyFill="1" applyBorder="1" applyAlignment="1">
      <alignment horizontal="right" wrapText="1"/>
    </xf>
    <xf numFmtId="164" fontId="2" fillId="3" borderId="5" xfId="0" applyNumberFormat="1" applyFont="1" applyFill="1" applyBorder="1"/>
    <xf numFmtId="164" fontId="5" fillId="3" borderId="4" xfId="0" applyNumberFormat="1" applyFont="1" applyFill="1" applyBorder="1"/>
    <xf numFmtId="0" fontId="5" fillId="0" borderId="4" xfId="0" applyFont="1" applyBorder="1" applyAlignment="1">
      <alignment horizontal="right"/>
    </xf>
    <xf numFmtId="164" fontId="5" fillId="0" borderId="5" xfId="0" applyNumberFormat="1" applyFont="1" applyBorder="1"/>
    <xf numFmtId="164" fontId="6" fillId="0" borderId="5" xfId="0" applyNumberFormat="1" applyFont="1" applyBorder="1"/>
    <xf numFmtId="0" fontId="5" fillId="0" borderId="6" xfId="0" applyFont="1" applyBorder="1"/>
    <xf numFmtId="164" fontId="6" fillId="0" borderId="7" xfId="0" applyNumberFormat="1" applyFont="1" applyBorder="1"/>
    <xf numFmtId="0" fontId="3" fillId="0" borderId="2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0" fillId="0" borderId="4" xfId="0" applyNumberFormat="1" applyBorder="1"/>
    <xf numFmtId="164" fontId="0" fillId="0" borderId="5" xfId="0" applyNumberFormat="1" applyBorder="1"/>
    <xf numFmtId="0" fontId="5" fillId="2" borderId="4" xfId="0" applyFont="1" applyFill="1" applyBorder="1" applyAlignment="1">
      <alignment horizontal="right"/>
    </xf>
    <xf numFmtId="164" fontId="6" fillId="2" borderId="5" xfId="0" applyNumberFormat="1" applyFont="1" applyFill="1" applyBorder="1"/>
    <xf numFmtId="164" fontId="0" fillId="2" borderId="5" xfId="1" applyNumberFormat="1" applyFont="1" applyFill="1" applyBorder="1"/>
    <xf numFmtId="0" fontId="5" fillId="2" borderId="6" xfId="0" applyFont="1" applyFill="1" applyBorder="1"/>
    <xf numFmtId="164" fontId="6" fillId="2" borderId="7" xfId="0" applyNumberFormat="1" applyFont="1" applyFill="1" applyBorder="1"/>
    <xf numFmtId="4" fontId="0" fillId="4" borderId="0" xfId="0" applyNumberFormat="1" applyFill="1"/>
    <xf numFmtId="44" fontId="0" fillId="0" borderId="5" xfId="1" applyFont="1" applyBorder="1"/>
    <xf numFmtId="0" fontId="0" fillId="2" borderId="4" xfId="0" applyFill="1" applyBorder="1"/>
    <xf numFmtId="0" fontId="0" fillId="2" borderId="5" xfId="0" applyFill="1" applyBorder="1"/>
    <xf numFmtId="164" fontId="5" fillId="2" borderId="5" xfId="0" applyNumberFormat="1" applyFont="1" applyFill="1" applyBorder="1"/>
    <xf numFmtId="4" fontId="0" fillId="2" borderId="0" xfId="0" applyNumberFormat="1" applyFill="1"/>
    <xf numFmtId="0" fontId="3" fillId="5" borderId="2" xfId="0" applyFont="1" applyFill="1" applyBorder="1"/>
    <xf numFmtId="6" fontId="3" fillId="5" borderId="3" xfId="0" applyNumberFormat="1" applyFont="1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4" xfId="0" applyFill="1" applyBorder="1" applyAlignment="1">
      <alignment horizontal="right"/>
    </xf>
    <xf numFmtId="164" fontId="0" fillId="5" borderId="5" xfId="0" applyNumberFormat="1" applyFill="1" applyBorder="1"/>
    <xf numFmtId="164" fontId="4" fillId="5" borderId="5" xfId="0" applyNumberFormat="1" applyFont="1" applyFill="1" applyBorder="1"/>
    <xf numFmtId="164" fontId="0" fillId="5" borderId="4" xfId="0" applyNumberFormat="1" applyFill="1" applyBorder="1" applyAlignment="1">
      <alignment horizontal="right"/>
    </xf>
    <xf numFmtId="164" fontId="0" fillId="5" borderId="0" xfId="0" applyNumberFormat="1" applyFill="1"/>
    <xf numFmtId="164" fontId="0" fillId="5" borderId="0" xfId="0" applyNumberFormat="1" applyFill="1" applyAlignment="1">
      <alignment horizontal="right"/>
    </xf>
    <xf numFmtId="8" fontId="0" fillId="5" borderId="0" xfId="0" applyNumberFormat="1" applyFill="1"/>
    <xf numFmtId="4" fontId="6" fillId="0" borderId="0" xfId="0" quotePrefix="1" applyNumberFormat="1" applyFont="1"/>
    <xf numFmtId="44" fontId="3" fillId="0" borderId="3" xfId="1" applyFont="1" applyFill="1" applyBorder="1" applyAlignment="1">
      <alignment horizontal="center"/>
    </xf>
    <xf numFmtId="44" fontId="0" fillId="0" borderId="5" xfId="1" applyFont="1" applyFill="1" applyBorder="1"/>
    <xf numFmtId="0" fontId="5" fillId="0" borderId="0" xfId="0" applyFont="1" applyAlignment="1">
      <alignment horizontal="right"/>
    </xf>
    <xf numFmtId="0" fontId="3" fillId="6" borderId="2" xfId="0" applyFont="1" applyFill="1" applyBorder="1" applyAlignment="1">
      <alignment horizontal="center"/>
    </xf>
    <xf numFmtId="164" fontId="3" fillId="6" borderId="3" xfId="0" applyNumberFormat="1" applyFont="1" applyFill="1" applyBorder="1" applyAlignment="1">
      <alignment horizontal="center"/>
    </xf>
    <xf numFmtId="164" fontId="0" fillId="6" borderId="4" xfId="0" applyNumberFormat="1" applyFill="1" applyBorder="1"/>
    <xf numFmtId="164" fontId="0" fillId="6" borderId="5" xfId="0" applyNumberFormat="1" applyFill="1" applyBorder="1"/>
    <xf numFmtId="0" fontId="0" fillId="6" borderId="4" xfId="0" applyFill="1" applyBorder="1"/>
    <xf numFmtId="0" fontId="0" fillId="6" borderId="5" xfId="0" applyFill="1" applyBorder="1"/>
    <xf numFmtId="0" fontId="5" fillId="6" borderId="4" xfId="0" applyFont="1" applyFill="1" applyBorder="1" applyAlignment="1">
      <alignment horizontal="right"/>
    </xf>
    <xf numFmtId="164" fontId="5" fillId="6" borderId="5" xfId="0" applyNumberFormat="1" applyFont="1" applyFill="1" applyBorder="1"/>
    <xf numFmtId="0" fontId="5" fillId="6" borderId="6" xfId="0" applyFont="1" applyFill="1" applyBorder="1"/>
    <xf numFmtId="164" fontId="6" fillId="6" borderId="7" xfId="0" applyNumberFormat="1" applyFont="1" applyFill="1" applyBorder="1"/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7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Spend</a:t>
            </a:r>
          </a:p>
        </c:rich>
      </c:tx>
      <c:layout>
        <c:manualLayout>
          <c:xMode val="edge"/>
          <c:yMode val="edge"/>
          <c:x val="0.42451831914930477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9030258338844213E-2"/>
          <c:y val="9.9037670992572241E-2"/>
          <c:w val="0.87436241175564722"/>
          <c:h val="0.78914214149369288"/>
        </c:manualLayout>
      </c:layout>
      <c:lineChart>
        <c:grouping val="standard"/>
        <c:varyColors val="0"/>
        <c:ser>
          <c:idx val="1"/>
          <c:order val="0"/>
          <c:tx>
            <c:strRef>
              <c:f>Sheet1!$E$1</c:f>
              <c:strCache>
                <c:ptCount val="1"/>
                <c:pt idx="0">
                  <c:v>Total Taxi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Sheet1!$A$2:$A$65</c:f>
              <c:numCache>
                <c:formatCode>mmm\-yy</c:formatCode>
                <c:ptCount val="64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  <c:pt idx="45">
                  <c:v>45444</c:v>
                </c:pt>
                <c:pt idx="46">
                  <c:v>45474</c:v>
                </c:pt>
                <c:pt idx="47">
                  <c:v>45505</c:v>
                </c:pt>
                <c:pt idx="48">
                  <c:v>45536</c:v>
                </c:pt>
                <c:pt idx="49">
                  <c:v>45566</c:v>
                </c:pt>
                <c:pt idx="50">
                  <c:v>45597</c:v>
                </c:pt>
                <c:pt idx="51">
                  <c:v>45627</c:v>
                </c:pt>
                <c:pt idx="52">
                  <c:v>45658</c:v>
                </c:pt>
                <c:pt idx="53">
                  <c:v>45689</c:v>
                </c:pt>
                <c:pt idx="54">
                  <c:v>45717</c:v>
                </c:pt>
                <c:pt idx="55">
                  <c:v>45748</c:v>
                </c:pt>
                <c:pt idx="56">
                  <c:v>45778</c:v>
                </c:pt>
                <c:pt idx="57">
                  <c:v>45809</c:v>
                </c:pt>
                <c:pt idx="58">
                  <c:v>45839</c:v>
                </c:pt>
                <c:pt idx="59">
                  <c:v>45870</c:v>
                </c:pt>
                <c:pt idx="60">
                  <c:v>45901</c:v>
                </c:pt>
                <c:pt idx="61">
                  <c:v>45931</c:v>
                </c:pt>
                <c:pt idx="62">
                  <c:v>45962</c:v>
                </c:pt>
                <c:pt idx="63">
                  <c:v>45992</c:v>
                </c:pt>
              </c:numCache>
            </c:numRef>
          </c:cat>
          <c:val>
            <c:numRef>
              <c:f>Sheet1!$E$2:$E$65</c:f>
              <c:numCache>
                <c:formatCode>"$"#,##0.00</c:formatCode>
                <c:ptCount val="64"/>
                <c:pt idx="0">
                  <c:v>2261.5</c:v>
                </c:pt>
                <c:pt idx="1">
                  <c:v>6810.2999999999993</c:v>
                </c:pt>
                <c:pt idx="2">
                  <c:v>6119.6</c:v>
                </c:pt>
                <c:pt idx="3">
                  <c:v>11144.6</c:v>
                </c:pt>
                <c:pt idx="4">
                  <c:v>10971.5</c:v>
                </c:pt>
                <c:pt idx="5">
                  <c:v>6218</c:v>
                </c:pt>
                <c:pt idx="6">
                  <c:v>406.5</c:v>
                </c:pt>
                <c:pt idx="7">
                  <c:v>714</c:v>
                </c:pt>
                <c:pt idx="8">
                  <c:v>2043</c:v>
                </c:pt>
                <c:pt idx="9">
                  <c:v>5170.3</c:v>
                </c:pt>
                <c:pt idx="10">
                  <c:v>3724.5</c:v>
                </c:pt>
                <c:pt idx="11">
                  <c:v>4617.5</c:v>
                </c:pt>
                <c:pt idx="12">
                  <c:v>5056.5</c:v>
                </c:pt>
                <c:pt idx="13">
                  <c:v>5300.3</c:v>
                </c:pt>
                <c:pt idx="14">
                  <c:v>4323.3</c:v>
                </c:pt>
                <c:pt idx="15">
                  <c:v>5040</c:v>
                </c:pt>
                <c:pt idx="16">
                  <c:v>4973.8999999999996</c:v>
                </c:pt>
                <c:pt idx="17">
                  <c:v>7755.5</c:v>
                </c:pt>
                <c:pt idx="18">
                  <c:v>7691.3</c:v>
                </c:pt>
                <c:pt idx="19">
                  <c:v>6230.5</c:v>
                </c:pt>
                <c:pt idx="20">
                  <c:v>6246.1</c:v>
                </c:pt>
                <c:pt idx="21">
                  <c:v>6277</c:v>
                </c:pt>
                <c:pt idx="22">
                  <c:v>4549.3999999999996</c:v>
                </c:pt>
                <c:pt idx="23">
                  <c:v>6995.95</c:v>
                </c:pt>
                <c:pt idx="24">
                  <c:v>8047.45</c:v>
                </c:pt>
                <c:pt idx="25">
                  <c:v>8576</c:v>
                </c:pt>
                <c:pt idx="26">
                  <c:v>7833.65</c:v>
                </c:pt>
                <c:pt idx="27">
                  <c:v>4565.3</c:v>
                </c:pt>
                <c:pt idx="28">
                  <c:v>5856.35</c:v>
                </c:pt>
                <c:pt idx="29">
                  <c:v>3438</c:v>
                </c:pt>
                <c:pt idx="30">
                  <c:v>3234.3</c:v>
                </c:pt>
                <c:pt idx="31">
                  <c:v>5977.1</c:v>
                </c:pt>
                <c:pt idx="32">
                  <c:v>6804.05</c:v>
                </c:pt>
                <c:pt idx="33">
                  <c:v>5261.9</c:v>
                </c:pt>
                <c:pt idx="34">
                  <c:v>3569.1</c:v>
                </c:pt>
                <c:pt idx="35">
                  <c:v>6346.55</c:v>
                </c:pt>
                <c:pt idx="36">
                  <c:v>8508.9500000000007</c:v>
                </c:pt>
                <c:pt idx="37">
                  <c:v>6453.25</c:v>
                </c:pt>
                <c:pt idx="38">
                  <c:v>6564.5</c:v>
                </c:pt>
                <c:pt idx="39">
                  <c:v>6480.95</c:v>
                </c:pt>
                <c:pt idx="40">
                  <c:v>5933.55</c:v>
                </c:pt>
                <c:pt idx="41">
                  <c:v>6153.45</c:v>
                </c:pt>
                <c:pt idx="42">
                  <c:v>11443.95</c:v>
                </c:pt>
                <c:pt idx="43">
                  <c:v>9903.6</c:v>
                </c:pt>
                <c:pt idx="44">
                  <c:v>8324.1</c:v>
                </c:pt>
                <c:pt idx="45">
                  <c:v>9428.9500000000007</c:v>
                </c:pt>
                <c:pt idx="46">
                  <c:v>11791.9</c:v>
                </c:pt>
                <c:pt idx="47">
                  <c:v>9587.85</c:v>
                </c:pt>
                <c:pt idx="48">
                  <c:v>9243.4500000000007</c:v>
                </c:pt>
                <c:pt idx="49">
                  <c:v>9171.85</c:v>
                </c:pt>
                <c:pt idx="50">
                  <c:v>8015.9</c:v>
                </c:pt>
                <c:pt idx="51">
                  <c:v>7314.85</c:v>
                </c:pt>
                <c:pt idx="52">
                  <c:v>6996.75</c:v>
                </c:pt>
                <c:pt idx="53">
                  <c:v>5063.8500000000004</c:v>
                </c:pt>
                <c:pt idx="54">
                  <c:v>7816.45</c:v>
                </c:pt>
                <c:pt idx="55">
                  <c:v>5833.1</c:v>
                </c:pt>
                <c:pt idx="56">
                  <c:v>4661.3999999999996</c:v>
                </c:pt>
                <c:pt idx="57">
                  <c:v>5637</c:v>
                </c:pt>
                <c:pt idx="58">
                  <c:v>6743.15</c:v>
                </c:pt>
                <c:pt idx="59">
                  <c:v>5152.05</c:v>
                </c:pt>
                <c:pt idx="60">
                  <c:v>0</c:v>
                </c:pt>
                <c:pt idx="61">
                  <c:v>0</c:v>
                </c:pt>
                <c:pt idx="62">
                  <c:v>90</c:v>
                </c:pt>
                <c:pt idx="63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0-4857-BDD0-2EF14FCC83DD}"/>
            </c:ext>
          </c:extLst>
        </c:ser>
        <c:ser>
          <c:idx val="0"/>
          <c:order val="1"/>
          <c:tx>
            <c:strRef>
              <c:f>Sheet1!$I$1</c:f>
              <c:strCache>
                <c:ptCount val="1"/>
                <c:pt idx="0">
                  <c:v>Uber + Annex</c:v>
                </c:pt>
              </c:strCache>
            </c:strRef>
          </c:tx>
          <c:spPr>
            <a:ln w="28575" cap="rnd">
              <a:solidFill>
                <a:schemeClr val="accent1">
                  <a:alpha val="98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Sheet1!$A$2:$A$65</c:f>
              <c:numCache>
                <c:formatCode>mmm\-yy</c:formatCode>
                <c:ptCount val="64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  <c:pt idx="45">
                  <c:v>45444</c:v>
                </c:pt>
                <c:pt idx="46">
                  <c:v>45474</c:v>
                </c:pt>
                <c:pt idx="47">
                  <c:v>45505</c:v>
                </c:pt>
                <c:pt idx="48">
                  <c:v>45536</c:v>
                </c:pt>
                <c:pt idx="49">
                  <c:v>45566</c:v>
                </c:pt>
                <c:pt idx="50">
                  <c:v>45597</c:v>
                </c:pt>
                <c:pt idx="51">
                  <c:v>45627</c:v>
                </c:pt>
                <c:pt idx="52">
                  <c:v>45658</c:v>
                </c:pt>
                <c:pt idx="53">
                  <c:v>45689</c:v>
                </c:pt>
                <c:pt idx="54">
                  <c:v>45717</c:v>
                </c:pt>
                <c:pt idx="55">
                  <c:v>45748</c:v>
                </c:pt>
                <c:pt idx="56">
                  <c:v>45778</c:v>
                </c:pt>
                <c:pt idx="57">
                  <c:v>45809</c:v>
                </c:pt>
                <c:pt idx="58">
                  <c:v>45839</c:v>
                </c:pt>
                <c:pt idx="59">
                  <c:v>45870</c:v>
                </c:pt>
                <c:pt idx="60">
                  <c:v>45901</c:v>
                </c:pt>
                <c:pt idx="61">
                  <c:v>45931</c:v>
                </c:pt>
                <c:pt idx="62">
                  <c:v>45962</c:v>
                </c:pt>
                <c:pt idx="63">
                  <c:v>45992</c:v>
                </c:pt>
              </c:numCache>
            </c:numRef>
          </c:cat>
          <c:val>
            <c:numRef>
              <c:f>Sheet1!$I$2:$I$65</c:f>
              <c:numCache>
                <c:formatCode>"$"#,##0.00</c:formatCode>
                <c:ptCount val="6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73.099999999999994</c:v>
                </c:pt>
                <c:pt idx="6">
                  <c:v>218.64</c:v>
                </c:pt>
                <c:pt idx="7">
                  <c:v>476.11</c:v>
                </c:pt>
                <c:pt idx="8">
                  <c:v>598.13</c:v>
                </c:pt>
                <c:pt idx="9">
                  <c:v>1618.72</c:v>
                </c:pt>
                <c:pt idx="10">
                  <c:v>2388.37</c:v>
                </c:pt>
                <c:pt idx="11">
                  <c:v>3017.75</c:v>
                </c:pt>
                <c:pt idx="12">
                  <c:v>3774.34</c:v>
                </c:pt>
                <c:pt idx="13">
                  <c:v>3492.27</c:v>
                </c:pt>
                <c:pt idx="14">
                  <c:v>2147.85</c:v>
                </c:pt>
                <c:pt idx="15">
                  <c:v>3032.66</c:v>
                </c:pt>
                <c:pt idx="16">
                  <c:v>2426.5300000000002</c:v>
                </c:pt>
                <c:pt idx="17">
                  <c:v>2872.53</c:v>
                </c:pt>
                <c:pt idx="18">
                  <c:v>4590.1099999999997</c:v>
                </c:pt>
                <c:pt idx="19">
                  <c:v>5282.77</c:v>
                </c:pt>
                <c:pt idx="20">
                  <c:v>6185.38</c:v>
                </c:pt>
                <c:pt idx="21">
                  <c:v>4243.07</c:v>
                </c:pt>
                <c:pt idx="22">
                  <c:v>4798.18</c:v>
                </c:pt>
                <c:pt idx="23">
                  <c:v>4578.6899999999996</c:v>
                </c:pt>
                <c:pt idx="24">
                  <c:v>3598.24</c:v>
                </c:pt>
                <c:pt idx="25">
                  <c:v>3921.32</c:v>
                </c:pt>
                <c:pt idx="26">
                  <c:v>3738.53</c:v>
                </c:pt>
                <c:pt idx="27">
                  <c:v>3419.72</c:v>
                </c:pt>
                <c:pt idx="28">
                  <c:v>2975.65</c:v>
                </c:pt>
                <c:pt idx="29">
                  <c:v>1724.7900000000002</c:v>
                </c:pt>
                <c:pt idx="30">
                  <c:v>3045.4300000000003</c:v>
                </c:pt>
                <c:pt idx="31">
                  <c:v>2303.5100000000002</c:v>
                </c:pt>
                <c:pt idx="32">
                  <c:v>2726.23</c:v>
                </c:pt>
                <c:pt idx="33">
                  <c:v>2766.79</c:v>
                </c:pt>
                <c:pt idx="34">
                  <c:v>2741.1800000000003</c:v>
                </c:pt>
                <c:pt idx="35">
                  <c:v>3235.79</c:v>
                </c:pt>
                <c:pt idx="36">
                  <c:v>3258.22</c:v>
                </c:pt>
                <c:pt idx="37">
                  <c:v>3843.71</c:v>
                </c:pt>
                <c:pt idx="38">
                  <c:v>3056.46</c:v>
                </c:pt>
                <c:pt idx="39">
                  <c:v>2203.66</c:v>
                </c:pt>
                <c:pt idx="40">
                  <c:v>2358.25</c:v>
                </c:pt>
                <c:pt idx="41">
                  <c:v>3064.52</c:v>
                </c:pt>
                <c:pt idx="42">
                  <c:v>3526.85</c:v>
                </c:pt>
                <c:pt idx="43">
                  <c:v>3860.13</c:v>
                </c:pt>
                <c:pt idx="44">
                  <c:v>4031.2700000000004</c:v>
                </c:pt>
                <c:pt idx="45">
                  <c:v>4954.6400000000003</c:v>
                </c:pt>
                <c:pt idx="46">
                  <c:v>3518.64</c:v>
                </c:pt>
                <c:pt idx="47">
                  <c:v>3674.45</c:v>
                </c:pt>
                <c:pt idx="48">
                  <c:v>3214.92</c:v>
                </c:pt>
                <c:pt idx="49">
                  <c:v>3322.21</c:v>
                </c:pt>
                <c:pt idx="50">
                  <c:v>2131.5</c:v>
                </c:pt>
                <c:pt idx="51">
                  <c:v>1997.2</c:v>
                </c:pt>
                <c:pt idx="52">
                  <c:v>2124.29</c:v>
                </c:pt>
                <c:pt idx="53">
                  <c:v>1740.06</c:v>
                </c:pt>
                <c:pt idx="54">
                  <c:v>3153.77</c:v>
                </c:pt>
                <c:pt idx="55">
                  <c:v>3618.39</c:v>
                </c:pt>
                <c:pt idx="56">
                  <c:v>4500.05</c:v>
                </c:pt>
                <c:pt idx="57">
                  <c:v>3791.32</c:v>
                </c:pt>
                <c:pt idx="58">
                  <c:v>3416.25</c:v>
                </c:pt>
                <c:pt idx="59">
                  <c:v>3813.74</c:v>
                </c:pt>
                <c:pt idx="60">
                  <c:v>526.53</c:v>
                </c:pt>
                <c:pt idx="61">
                  <c:v>656.31</c:v>
                </c:pt>
                <c:pt idx="62">
                  <c:v>498.68</c:v>
                </c:pt>
                <c:pt idx="63">
                  <c:v>723.6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0-4857-BDD0-2EF14FCC8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07472"/>
        <c:axId val="36909552"/>
      </c:lineChart>
      <c:dateAx>
        <c:axId val="36907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09552"/>
        <c:crosses val="autoZero"/>
        <c:auto val="1"/>
        <c:lblOffset val="100"/>
        <c:baseTimeUnit val="months"/>
      </c:dateAx>
      <c:valAx>
        <c:axId val="3690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0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337217405791772"/>
          <c:y val="0.37438456052360658"/>
          <c:w val="7.1121725339127029E-2"/>
          <c:h val="0.34288924323485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677333</xdr:colOff>
      <xdr:row>119</xdr:row>
      <xdr:rowOff>176818</xdr:rowOff>
    </xdr:from>
    <xdr:to>
      <xdr:col>23</xdr:col>
      <xdr:colOff>1298575</xdr:colOff>
      <xdr:row>145</xdr:row>
      <xdr:rowOff>61334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4BBA06-1D37-4203-BEAD-C74E50D78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822885</xdr:colOff>
      <xdr:row>119</xdr:row>
      <xdr:rowOff>7471</xdr:rowOff>
    </xdr:from>
    <xdr:to>
      <xdr:col>26</xdr:col>
      <xdr:colOff>1223122</xdr:colOff>
      <xdr:row>121</xdr:row>
      <xdr:rowOff>101506</xdr:rowOff>
    </xdr:to>
    <xdr:sp macro="" textlink="">
      <xdr:nvSpPr>
        <xdr:cNvPr id="3" name="Star: 5 Points 2">
          <a:extLst>
            <a:ext uri="{FF2B5EF4-FFF2-40B4-BE49-F238E27FC236}">
              <a16:creationId xmlns:a16="http://schemas.microsoft.com/office/drawing/2014/main" id="{23EB6C85-7C95-4A75-9E2B-153643CBF3A7}"/>
            </a:ext>
          </a:extLst>
        </xdr:cNvPr>
        <xdr:cNvSpPr/>
      </xdr:nvSpPr>
      <xdr:spPr>
        <a:xfrm>
          <a:off x="12910297" y="9330765"/>
          <a:ext cx="400237" cy="467565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>
              <a:solidFill>
                <a:schemeClr val="tx1"/>
              </a:solidFill>
            </a:rPr>
            <a:t>1</a:t>
          </a:r>
        </a:p>
      </xdr:txBody>
    </xdr:sp>
    <xdr:clientData/>
  </xdr:twoCellAnchor>
  <xdr:twoCellAnchor>
    <xdr:from>
      <xdr:col>26</xdr:col>
      <xdr:colOff>822325</xdr:colOff>
      <xdr:row>125</xdr:row>
      <xdr:rowOff>18208</xdr:rowOff>
    </xdr:from>
    <xdr:to>
      <xdr:col>26</xdr:col>
      <xdr:colOff>1228912</xdr:colOff>
      <xdr:row>127</xdr:row>
      <xdr:rowOff>112244</xdr:rowOff>
    </xdr:to>
    <xdr:sp macro="" textlink="">
      <xdr:nvSpPr>
        <xdr:cNvPr id="4" name="Star: 5 Points 3">
          <a:extLst>
            <a:ext uri="{FF2B5EF4-FFF2-40B4-BE49-F238E27FC236}">
              <a16:creationId xmlns:a16="http://schemas.microsoft.com/office/drawing/2014/main" id="{245EF87B-E53F-4DA1-AE27-081F0658D0D1}"/>
            </a:ext>
          </a:extLst>
        </xdr:cNvPr>
        <xdr:cNvSpPr/>
      </xdr:nvSpPr>
      <xdr:spPr>
        <a:xfrm>
          <a:off x="12909737" y="10462090"/>
          <a:ext cx="406587" cy="467566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>
              <a:solidFill>
                <a:schemeClr val="tx1"/>
              </a:solidFill>
            </a:rPr>
            <a:t>3</a:t>
          </a:r>
        </a:p>
      </xdr:txBody>
    </xdr:sp>
    <xdr:clientData/>
  </xdr:twoCellAnchor>
  <xdr:twoCellAnchor>
    <xdr:from>
      <xdr:col>26</xdr:col>
      <xdr:colOff>833532</xdr:colOff>
      <xdr:row>122</xdr:row>
      <xdr:rowOff>26100</xdr:rowOff>
    </xdr:from>
    <xdr:to>
      <xdr:col>26</xdr:col>
      <xdr:colOff>1233769</xdr:colOff>
      <xdr:row>124</xdr:row>
      <xdr:rowOff>116960</xdr:rowOff>
    </xdr:to>
    <xdr:sp macro="" textlink="">
      <xdr:nvSpPr>
        <xdr:cNvPr id="5" name="Star: 5 Points 4">
          <a:extLst>
            <a:ext uri="{FF2B5EF4-FFF2-40B4-BE49-F238E27FC236}">
              <a16:creationId xmlns:a16="http://schemas.microsoft.com/office/drawing/2014/main" id="{C078F1D8-C0FC-4DE3-9A8C-088EAB07181D}"/>
            </a:ext>
          </a:extLst>
        </xdr:cNvPr>
        <xdr:cNvSpPr/>
      </xdr:nvSpPr>
      <xdr:spPr>
        <a:xfrm>
          <a:off x="12920944" y="9909688"/>
          <a:ext cx="400237" cy="464390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>
              <a:solidFill>
                <a:schemeClr val="tx1"/>
              </a:solidFill>
            </a:rPr>
            <a:t>2</a:t>
          </a:r>
        </a:p>
      </xdr:txBody>
    </xdr:sp>
    <xdr:clientData/>
  </xdr:twoCellAnchor>
  <xdr:twoCellAnchor>
    <xdr:from>
      <xdr:col>26</xdr:col>
      <xdr:colOff>851647</xdr:colOff>
      <xdr:row>128</xdr:row>
      <xdr:rowOff>101461</xdr:rowOff>
    </xdr:from>
    <xdr:to>
      <xdr:col>26</xdr:col>
      <xdr:colOff>1258234</xdr:colOff>
      <xdr:row>131</xdr:row>
      <xdr:rowOff>8731</xdr:rowOff>
    </xdr:to>
    <xdr:sp macro="" textlink="">
      <xdr:nvSpPr>
        <xdr:cNvPr id="6" name="Star: 5 Points 5">
          <a:extLst>
            <a:ext uri="{FF2B5EF4-FFF2-40B4-BE49-F238E27FC236}">
              <a16:creationId xmlns:a16="http://schemas.microsoft.com/office/drawing/2014/main" id="{DBBFBE62-88BC-47DE-8BAF-2F0AF4A6A8A2}"/>
            </a:ext>
          </a:extLst>
        </xdr:cNvPr>
        <xdr:cNvSpPr/>
      </xdr:nvSpPr>
      <xdr:spPr>
        <a:xfrm>
          <a:off x="12939059" y="11105637"/>
          <a:ext cx="406587" cy="467565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>
              <a:solidFill>
                <a:schemeClr val="tx1"/>
              </a:solidFill>
            </a:rPr>
            <a:t>4</a:t>
          </a:r>
        </a:p>
      </xdr:txBody>
    </xdr:sp>
    <xdr:clientData/>
  </xdr:twoCellAnchor>
  <xdr:twoCellAnchor>
    <xdr:from>
      <xdr:col>14</xdr:col>
      <xdr:colOff>470118</xdr:colOff>
      <xdr:row>132</xdr:row>
      <xdr:rowOff>48616</xdr:rowOff>
    </xdr:from>
    <xdr:to>
      <xdr:col>14</xdr:col>
      <xdr:colOff>893237</xdr:colOff>
      <xdr:row>134</xdr:row>
      <xdr:rowOff>125861</xdr:rowOff>
    </xdr:to>
    <xdr:sp macro="" textlink="">
      <xdr:nvSpPr>
        <xdr:cNvPr id="7" name="Star: 5 Points 6">
          <a:extLst>
            <a:ext uri="{FF2B5EF4-FFF2-40B4-BE49-F238E27FC236}">
              <a16:creationId xmlns:a16="http://schemas.microsoft.com/office/drawing/2014/main" id="{83F259DE-A4CA-4BAC-B328-86DC51E8BB70}"/>
            </a:ext>
          </a:extLst>
        </xdr:cNvPr>
        <xdr:cNvSpPr/>
      </xdr:nvSpPr>
      <xdr:spPr>
        <a:xfrm>
          <a:off x="15129547" y="23861116"/>
          <a:ext cx="423119" cy="440102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>
              <a:solidFill>
                <a:schemeClr val="tx1"/>
              </a:solidFill>
            </a:rPr>
            <a:t>4</a:t>
          </a:r>
        </a:p>
      </xdr:txBody>
    </xdr:sp>
    <xdr:clientData/>
  </xdr:twoCellAnchor>
  <xdr:twoCellAnchor>
    <xdr:from>
      <xdr:col>26</xdr:col>
      <xdr:colOff>847725</xdr:colOff>
      <xdr:row>132</xdr:row>
      <xdr:rowOff>15875</xdr:rowOff>
    </xdr:from>
    <xdr:to>
      <xdr:col>26</xdr:col>
      <xdr:colOff>1257487</xdr:colOff>
      <xdr:row>134</xdr:row>
      <xdr:rowOff>104120</xdr:rowOff>
    </xdr:to>
    <xdr:sp macro="" textlink="">
      <xdr:nvSpPr>
        <xdr:cNvPr id="8" name="Star: 5 Points 7">
          <a:extLst>
            <a:ext uri="{FF2B5EF4-FFF2-40B4-BE49-F238E27FC236}">
              <a16:creationId xmlns:a16="http://schemas.microsoft.com/office/drawing/2014/main" id="{14528FB6-2DD2-4E41-BC86-DFC53E25E48A}"/>
            </a:ext>
          </a:extLst>
        </xdr:cNvPr>
        <xdr:cNvSpPr/>
      </xdr:nvSpPr>
      <xdr:spPr>
        <a:xfrm>
          <a:off x="13106400" y="11464925"/>
          <a:ext cx="409762" cy="450195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>
              <a:solidFill>
                <a:schemeClr val="tx1"/>
              </a:solidFill>
            </a:rPr>
            <a:t>5</a:t>
          </a:r>
        </a:p>
      </xdr:txBody>
    </xdr:sp>
    <xdr:clientData/>
  </xdr:twoCellAnchor>
  <xdr:twoCellAnchor>
    <xdr:from>
      <xdr:col>14</xdr:col>
      <xdr:colOff>829705</xdr:colOff>
      <xdr:row>138</xdr:row>
      <xdr:rowOff>178302</xdr:rowOff>
    </xdr:from>
    <xdr:to>
      <xdr:col>14</xdr:col>
      <xdr:colOff>1253401</xdr:colOff>
      <xdr:row>141</xdr:row>
      <xdr:rowOff>87229</xdr:rowOff>
    </xdr:to>
    <xdr:sp macro="" textlink="">
      <xdr:nvSpPr>
        <xdr:cNvPr id="9" name="Star: 5 Points 8">
          <a:extLst>
            <a:ext uri="{FF2B5EF4-FFF2-40B4-BE49-F238E27FC236}">
              <a16:creationId xmlns:a16="http://schemas.microsoft.com/office/drawing/2014/main" id="{1DC0FF56-1F7B-4FD5-9497-E139F2894F66}"/>
            </a:ext>
          </a:extLst>
        </xdr:cNvPr>
        <xdr:cNvSpPr/>
      </xdr:nvSpPr>
      <xdr:spPr>
        <a:xfrm>
          <a:off x="15489134" y="25079373"/>
          <a:ext cx="423696" cy="453213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>
              <a:solidFill>
                <a:schemeClr val="tx1"/>
              </a:solidFill>
            </a:rPr>
            <a:t>5</a:t>
          </a:r>
        </a:p>
      </xdr:txBody>
    </xdr:sp>
    <xdr:clientData/>
  </xdr:twoCellAnchor>
  <xdr:twoCellAnchor>
    <xdr:from>
      <xdr:col>15</xdr:col>
      <xdr:colOff>574794</xdr:colOff>
      <xdr:row>132</xdr:row>
      <xdr:rowOff>159396</xdr:rowOff>
    </xdr:from>
    <xdr:to>
      <xdr:col>15</xdr:col>
      <xdr:colOff>1002333</xdr:colOff>
      <xdr:row>135</xdr:row>
      <xdr:rowOff>70368</xdr:rowOff>
    </xdr:to>
    <xdr:sp macro="" textlink="">
      <xdr:nvSpPr>
        <xdr:cNvPr id="11" name="Star: 5 Points 10">
          <a:extLst>
            <a:ext uri="{FF2B5EF4-FFF2-40B4-BE49-F238E27FC236}">
              <a16:creationId xmlns:a16="http://schemas.microsoft.com/office/drawing/2014/main" id="{BCB4C051-356E-43E0-8E28-855CACAC2978}"/>
            </a:ext>
          </a:extLst>
        </xdr:cNvPr>
        <xdr:cNvSpPr/>
      </xdr:nvSpPr>
      <xdr:spPr>
        <a:xfrm>
          <a:off x="16667508" y="23971896"/>
          <a:ext cx="427539" cy="455258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>
              <a:solidFill>
                <a:schemeClr val="tx1"/>
              </a:solidFill>
            </a:rPr>
            <a:t>6</a:t>
          </a:r>
        </a:p>
      </xdr:txBody>
    </xdr:sp>
    <xdr:clientData/>
  </xdr:twoCellAnchor>
  <xdr:twoCellAnchor>
    <xdr:from>
      <xdr:col>26</xdr:col>
      <xdr:colOff>858044</xdr:colOff>
      <xdr:row>135</xdr:row>
      <xdr:rowOff>91281</xdr:rowOff>
    </xdr:from>
    <xdr:to>
      <xdr:col>26</xdr:col>
      <xdr:colOff>1267806</xdr:colOff>
      <xdr:row>138</xdr:row>
      <xdr:rowOff>7282</xdr:rowOff>
    </xdr:to>
    <xdr:sp macro="" textlink="">
      <xdr:nvSpPr>
        <xdr:cNvPr id="12" name="Star: 5 Points 11">
          <a:extLst>
            <a:ext uri="{FF2B5EF4-FFF2-40B4-BE49-F238E27FC236}">
              <a16:creationId xmlns:a16="http://schemas.microsoft.com/office/drawing/2014/main" id="{5AEC3AC7-D59F-49DB-9F6F-9E79CA7C3B98}"/>
            </a:ext>
          </a:extLst>
        </xdr:cNvPr>
        <xdr:cNvSpPr/>
      </xdr:nvSpPr>
      <xdr:spPr>
        <a:xfrm>
          <a:off x="17050544" y="11985625"/>
          <a:ext cx="409762" cy="451782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>
              <a:solidFill>
                <a:schemeClr val="tx1"/>
              </a:solidFill>
            </a:rPr>
            <a:t>6</a:t>
          </a:r>
        </a:p>
      </xdr:txBody>
    </xdr:sp>
    <xdr:clientData/>
  </xdr:twoCellAnchor>
  <xdr:twoCellAnchor>
    <xdr:from>
      <xdr:col>26</xdr:col>
      <xdr:colOff>901700</xdr:colOff>
      <xdr:row>138</xdr:row>
      <xdr:rowOff>177800</xdr:rowOff>
    </xdr:from>
    <xdr:to>
      <xdr:col>26</xdr:col>
      <xdr:colOff>1311462</xdr:colOff>
      <xdr:row>141</xdr:row>
      <xdr:rowOff>93801</xdr:rowOff>
    </xdr:to>
    <xdr:sp macro="" textlink="">
      <xdr:nvSpPr>
        <xdr:cNvPr id="10" name="Star: 5 Points 9">
          <a:extLst>
            <a:ext uri="{FF2B5EF4-FFF2-40B4-BE49-F238E27FC236}">
              <a16:creationId xmlns:a16="http://schemas.microsoft.com/office/drawing/2014/main" id="{4C166CD6-12CD-4FEA-A971-2CD3D362F0C5}"/>
            </a:ext>
          </a:extLst>
        </xdr:cNvPr>
        <xdr:cNvSpPr/>
      </xdr:nvSpPr>
      <xdr:spPr>
        <a:xfrm>
          <a:off x="18262600" y="13766800"/>
          <a:ext cx="409762" cy="487501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>
              <a:solidFill>
                <a:schemeClr val="tx1"/>
              </a:solidFill>
            </a:rPr>
            <a:t>7</a:t>
          </a:r>
        </a:p>
      </xdr:txBody>
    </xdr:sp>
    <xdr:clientData/>
  </xdr:twoCellAnchor>
  <xdr:twoCellAnchor>
    <xdr:from>
      <xdr:col>26</xdr:col>
      <xdr:colOff>899886</xdr:colOff>
      <xdr:row>141</xdr:row>
      <xdr:rowOff>141515</xdr:rowOff>
    </xdr:from>
    <xdr:to>
      <xdr:col>26</xdr:col>
      <xdr:colOff>1309648</xdr:colOff>
      <xdr:row>144</xdr:row>
      <xdr:rowOff>57515</xdr:rowOff>
    </xdr:to>
    <xdr:sp macro="" textlink="">
      <xdr:nvSpPr>
        <xdr:cNvPr id="14" name="Star: 5 Points 13">
          <a:extLst>
            <a:ext uri="{FF2B5EF4-FFF2-40B4-BE49-F238E27FC236}">
              <a16:creationId xmlns:a16="http://schemas.microsoft.com/office/drawing/2014/main" id="{E856A318-28F4-4744-A5FF-4C74FF4A091D}"/>
            </a:ext>
          </a:extLst>
        </xdr:cNvPr>
        <xdr:cNvSpPr/>
      </xdr:nvSpPr>
      <xdr:spPr>
        <a:xfrm>
          <a:off x="22226815" y="15472229"/>
          <a:ext cx="409762" cy="460286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>
              <a:solidFill>
                <a:schemeClr val="tx1"/>
              </a:solidFill>
            </a:rPr>
            <a:t>8</a:t>
          </a:r>
        </a:p>
      </xdr:txBody>
    </xdr:sp>
    <xdr:clientData/>
  </xdr:twoCellAnchor>
  <xdr:twoCellAnchor>
    <xdr:from>
      <xdr:col>16</xdr:col>
      <xdr:colOff>624529</xdr:colOff>
      <xdr:row>134</xdr:row>
      <xdr:rowOff>160563</xdr:rowOff>
    </xdr:from>
    <xdr:to>
      <xdr:col>17</xdr:col>
      <xdr:colOff>142570</xdr:colOff>
      <xdr:row>137</xdr:row>
      <xdr:rowOff>88470</xdr:rowOff>
    </xdr:to>
    <xdr:sp macro="" textlink="">
      <xdr:nvSpPr>
        <xdr:cNvPr id="15" name="Star: 5 Points 14">
          <a:extLst>
            <a:ext uri="{FF2B5EF4-FFF2-40B4-BE49-F238E27FC236}">
              <a16:creationId xmlns:a16="http://schemas.microsoft.com/office/drawing/2014/main" id="{D9AE54BD-5BF3-4293-A15A-96F4AAA03E43}"/>
            </a:ext>
          </a:extLst>
        </xdr:cNvPr>
        <xdr:cNvSpPr/>
      </xdr:nvSpPr>
      <xdr:spPr>
        <a:xfrm>
          <a:off x="18821815" y="24335920"/>
          <a:ext cx="416112" cy="472193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>
              <a:solidFill>
                <a:schemeClr val="tx1"/>
              </a:solidFill>
            </a:rPr>
            <a:t>8</a:t>
          </a:r>
        </a:p>
      </xdr:txBody>
    </xdr:sp>
    <xdr:clientData/>
  </xdr:twoCellAnchor>
  <xdr:twoCellAnchor>
    <xdr:from>
      <xdr:col>26</xdr:col>
      <xdr:colOff>906689</xdr:colOff>
      <xdr:row>144</xdr:row>
      <xdr:rowOff>168728</xdr:rowOff>
    </xdr:from>
    <xdr:to>
      <xdr:col>26</xdr:col>
      <xdr:colOff>1316451</xdr:colOff>
      <xdr:row>147</xdr:row>
      <xdr:rowOff>84729</xdr:rowOff>
    </xdr:to>
    <xdr:sp macro="" textlink="">
      <xdr:nvSpPr>
        <xdr:cNvPr id="16" name="Star: 5 Points 15">
          <a:extLst>
            <a:ext uri="{FF2B5EF4-FFF2-40B4-BE49-F238E27FC236}">
              <a16:creationId xmlns:a16="http://schemas.microsoft.com/office/drawing/2014/main" id="{ED0F4726-E722-4FFB-BBB8-4B35B0ADF6AF}"/>
            </a:ext>
          </a:extLst>
        </xdr:cNvPr>
        <xdr:cNvSpPr/>
      </xdr:nvSpPr>
      <xdr:spPr>
        <a:xfrm>
          <a:off x="22250627" y="16480291"/>
          <a:ext cx="409762" cy="463688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>
              <a:solidFill>
                <a:schemeClr val="tx1"/>
              </a:solidFill>
            </a:rPr>
            <a:t>9</a:t>
          </a:r>
        </a:p>
      </xdr:txBody>
    </xdr:sp>
    <xdr:clientData/>
  </xdr:twoCellAnchor>
  <xdr:twoCellAnchor>
    <xdr:from>
      <xdr:col>18</xdr:col>
      <xdr:colOff>374765</xdr:colOff>
      <xdr:row>134</xdr:row>
      <xdr:rowOff>158185</xdr:rowOff>
    </xdr:from>
    <xdr:to>
      <xdr:col>19</xdr:col>
      <xdr:colOff>59116</xdr:colOff>
      <xdr:row>137</xdr:row>
      <xdr:rowOff>81856</xdr:rowOff>
    </xdr:to>
    <xdr:sp macro="" textlink="">
      <xdr:nvSpPr>
        <xdr:cNvPr id="17" name="Star: 5 Points 16">
          <a:extLst>
            <a:ext uri="{FF2B5EF4-FFF2-40B4-BE49-F238E27FC236}">
              <a16:creationId xmlns:a16="http://schemas.microsoft.com/office/drawing/2014/main" id="{DE61A59A-2B36-42BD-BE63-C4E9BE2A8009}"/>
            </a:ext>
          </a:extLst>
        </xdr:cNvPr>
        <xdr:cNvSpPr/>
      </xdr:nvSpPr>
      <xdr:spPr>
        <a:xfrm>
          <a:off x="20994122" y="24333542"/>
          <a:ext cx="482637" cy="467957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>
              <a:solidFill>
                <a:schemeClr val="tx1"/>
              </a:solidFill>
            </a:rPr>
            <a:t>9</a:t>
          </a:r>
        </a:p>
      </xdr:txBody>
    </xdr:sp>
    <xdr:clientData/>
  </xdr:twoCellAnchor>
  <xdr:twoCellAnchor>
    <xdr:from>
      <xdr:col>14</xdr:col>
      <xdr:colOff>467945</xdr:colOff>
      <xdr:row>129</xdr:row>
      <xdr:rowOff>56646</xdr:rowOff>
    </xdr:from>
    <xdr:to>
      <xdr:col>14</xdr:col>
      <xdr:colOff>887889</xdr:colOff>
      <xdr:row>131</xdr:row>
      <xdr:rowOff>133896</xdr:rowOff>
    </xdr:to>
    <xdr:sp macro="" textlink="">
      <xdr:nvSpPr>
        <xdr:cNvPr id="18" name="Star: 5 Points 17">
          <a:extLst>
            <a:ext uri="{FF2B5EF4-FFF2-40B4-BE49-F238E27FC236}">
              <a16:creationId xmlns:a16="http://schemas.microsoft.com/office/drawing/2014/main" id="{6EC52290-DA48-4869-B207-5A30FE6A34A4}"/>
            </a:ext>
          </a:extLst>
        </xdr:cNvPr>
        <xdr:cNvSpPr/>
      </xdr:nvSpPr>
      <xdr:spPr>
        <a:xfrm>
          <a:off x="15127374" y="23324860"/>
          <a:ext cx="419944" cy="440107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>
              <a:solidFill>
                <a:schemeClr val="tx1"/>
              </a:solidFill>
            </a:rPr>
            <a:t>3</a:t>
          </a:r>
        </a:p>
      </xdr:txBody>
    </xdr:sp>
    <xdr:clientData/>
  </xdr:twoCellAnchor>
  <xdr:twoCellAnchor>
    <xdr:from>
      <xdr:col>26</xdr:col>
      <xdr:colOff>914624</xdr:colOff>
      <xdr:row>147</xdr:row>
      <xdr:rowOff>115546</xdr:rowOff>
    </xdr:from>
    <xdr:to>
      <xdr:col>27</xdr:col>
      <xdr:colOff>71437</xdr:colOff>
      <xdr:row>150</xdr:row>
      <xdr:rowOff>47422</xdr:rowOff>
    </xdr:to>
    <xdr:sp macro="" textlink="">
      <xdr:nvSpPr>
        <xdr:cNvPr id="19" name="Star: 5 Points 18">
          <a:extLst>
            <a:ext uri="{FF2B5EF4-FFF2-40B4-BE49-F238E27FC236}">
              <a16:creationId xmlns:a16="http://schemas.microsoft.com/office/drawing/2014/main" id="{F1975173-CD63-4557-8D88-610F678DB17F}"/>
            </a:ext>
          </a:extLst>
        </xdr:cNvPr>
        <xdr:cNvSpPr/>
      </xdr:nvSpPr>
      <xdr:spPr>
        <a:xfrm>
          <a:off x="22322062" y="18677390"/>
          <a:ext cx="526031" cy="467657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>
              <a:solidFill>
                <a:schemeClr val="tx1"/>
              </a:solidFill>
            </a:rPr>
            <a:t>10</a:t>
          </a:r>
        </a:p>
      </xdr:txBody>
    </xdr:sp>
    <xdr:clientData/>
  </xdr:twoCellAnchor>
  <xdr:twoCellAnchor>
    <xdr:from>
      <xdr:col>19</xdr:col>
      <xdr:colOff>215596</xdr:colOff>
      <xdr:row>139</xdr:row>
      <xdr:rowOff>82283</xdr:rowOff>
    </xdr:from>
    <xdr:to>
      <xdr:col>19</xdr:col>
      <xdr:colOff>698311</xdr:colOff>
      <xdr:row>142</xdr:row>
      <xdr:rowOff>33551</xdr:rowOff>
    </xdr:to>
    <xdr:sp macro="" textlink="">
      <xdr:nvSpPr>
        <xdr:cNvPr id="20" name="Star: 5 Points 19">
          <a:extLst>
            <a:ext uri="{FF2B5EF4-FFF2-40B4-BE49-F238E27FC236}">
              <a16:creationId xmlns:a16="http://schemas.microsoft.com/office/drawing/2014/main" id="{95ADBC92-8A97-42C2-9829-99BE426B6469}"/>
            </a:ext>
          </a:extLst>
        </xdr:cNvPr>
        <xdr:cNvSpPr/>
      </xdr:nvSpPr>
      <xdr:spPr>
        <a:xfrm>
          <a:off x="21633239" y="25164783"/>
          <a:ext cx="482715" cy="495554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>
              <a:solidFill>
                <a:schemeClr val="tx1"/>
              </a:solidFill>
            </a:rPr>
            <a:t>10</a:t>
          </a:r>
        </a:p>
      </xdr:txBody>
    </xdr:sp>
    <xdr:clientData/>
  </xdr:twoCellAnchor>
  <xdr:twoCellAnchor>
    <xdr:from>
      <xdr:col>15</xdr:col>
      <xdr:colOff>1235088</xdr:colOff>
      <xdr:row>134</xdr:row>
      <xdr:rowOff>94503</xdr:rowOff>
    </xdr:from>
    <xdr:to>
      <xdr:col>15</xdr:col>
      <xdr:colOff>1675668</xdr:colOff>
      <xdr:row>136</xdr:row>
      <xdr:rowOff>180820</xdr:rowOff>
    </xdr:to>
    <xdr:sp macro="" textlink="">
      <xdr:nvSpPr>
        <xdr:cNvPr id="23" name="Star: 5 Points 22">
          <a:extLst>
            <a:ext uri="{FF2B5EF4-FFF2-40B4-BE49-F238E27FC236}">
              <a16:creationId xmlns:a16="http://schemas.microsoft.com/office/drawing/2014/main" id="{403908DB-3EA9-49BE-AA70-F76A1C40E35F}"/>
            </a:ext>
          </a:extLst>
        </xdr:cNvPr>
        <xdr:cNvSpPr/>
      </xdr:nvSpPr>
      <xdr:spPr>
        <a:xfrm>
          <a:off x="17327802" y="24269860"/>
          <a:ext cx="440580" cy="449174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>
              <a:solidFill>
                <a:schemeClr val="tx1"/>
              </a:solidFill>
            </a:rPr>
            <a:t>7</a:t>
          </a:r>
        </a:p>
      </xdr:txBody>
    </xdr:sp>
    <xdr:clientData/>
  </xdr:twoCellAnchor>
  <xdr:twoCellAnchor>
    <xdr:from>
      <xdr:col>21</xdr:col>
      <xdr:colOff>236801</xdr:colOff>
      <xdr:row>138</xdr:row>
      <xdr:rowOff>66067</xdr:rowOff>
    </xdr:from>
    <xdr:to>
      <xdr:col>21</xdr:col>
      <xdr:colOff>756482</xdr:colOff>
      <xdr:row>141</xdr:row>
      <xdr:rowOff>26520</xdr:rowOff>
    </xdr:to>
    <xdr:sp macro="" textlink="">
      <xdr:nvSpPr>
        <xdr:cNvPr id="13" name="Star: 5 Points 12">
          <a:extLst>
            <a:ext uri="{FF2B5EF4-FFF2-40B4-BE49-F238E27FC236}">
              <a16:creationId xmlns:a16="http://schemas.microsoft.com/office/drawing/2014/main" id="{64446F32-8808-48B1-A772-2C2B80420652}"/>
            </a:ext>
          </a:extLst>
        </xdr:cNvPr>
        <xdr:cNvSpPr/>
      </xdr:nvSpPr>
      <xdr:spPr>
        <a:xfrm>
          <a:off x="24511944" y="24967138"/>
          <a:ext cx="519681" cy="504739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>
              <a:solidFill>
                <a:schemeClr val="tx1"/>
              </a:solidFill>
            </a:rPr>
            <a:t>11</a:t>
          </a:r>
        </a:p>
      </xdr:txBody>
    </xdr:sp>
    <xdr:clientData/>
  </xdr:twoCellAnchor>
  <xdr:twoCellAnchor>
    <xdr:from>
      <xdr:col>26</xdr:col>
      <xdr:colOff>898222</xdr:colOff>
      <xdr:row>150</xdr:row>
      <xdr:rowOff>81149</xdr:rowOff>
    </xdr:from>
    <xdr:to>
      <xdr:col>27</xdr:col>
      <xdr:colOff>42334</xdr:colOff>
      <xdr:row>153</xdr:row>
      <xdr:rowOff>41602</xdr:rowOff>
    </xdr:to>
    <xdr:sp macro="" textlink="">
      <xdr:nvSpPr>
        <xdr:cNvPr id="22" name="Star: 5 Points 21">
          <a:extLst>
            <a:ext uri="{FF2B5EF4-FFF2-40B4-BE49-F238E27FC236}">
              <a16:creationId xmlns:a16="http://schemas.microsoft.com/office/drawing/2014/main" id="{FFAB92F3-2B85-43DF-BEC9-4F8EDD4B7DE0}"/>
            </a:ext>
          </a:extLst>
        </xdr:cNvPr>
        <xdr:cNvSpPr/>
      </xdr:nvSpPr>
      <xdr:spPr>
        <a:xfrm>
          <a:off x="30520972" y="24846149"/>
          <a:ext cx="513331" cy="496234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>
              <a:solidFill>
                <a:schemeClr val="tx1"/>
              </a:solidFill>
            </a:rPr>
            <a:t>11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0.32953</cdr:x>
      <cdr:y>0.67993</cdr:y>
    </cdr:from>
    <cdr:to>
      <cdr:x>0.35216</cdr:x>
      <cdr:y>0.77672</cdr:y>
    </cdr:to>
    <cdr:sp macro="" textlink="">
      <cdr:nvSpPr>
        <cdr:cNvPr id="3" name="Star: 5 Points 2">
          <a:extLst xmlns:a="http://schemas.openxmlformats.org/drawingml/2006/main">
            <a:ext uri="{FF2B5EF4-FFF2-40B4-BE49-F238E27FC236}">
              <a16:creationId xmlns:a16="http://schemas.microsoft.com/office/drawing/2014/main" id="{9B171197-210F-418B-14F1-16C0F252F158}"/>
            </a:ext>
          </a:extLst>
        </cdr:cNvPr>
        <cdr:cNvSpPr/>
      </cdr:nvSpPr>
      <cdr:spPr>
        <a:xfrm xmlns:a="http://schemas.openxmlformats.org/drawingml/2006/main">
          <a:off x="7378984" y="3128808"/>
          <a:ext cx="506747" cy="445395"/>
        </a:xfrm>
        <a:prstGeom xmlns:a="http://schemas.openxmlformats.org/drawingml/2006/main" prst="star5">
          <a:avLst/>
        </a:prstGeom>
        <a:solidFill xmlns:a="http://schemas.openxmlformats.org/drawingml/2006/main">
          <a:srgbClr val="FFFF00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>
              <a:solidFill>
                <a:schemeClr val="tx1"/>
              </a:solidFill>
            </a:rPr>
            <a:t>2</a:t>
          </a:r>
        </a:p>
      </cdr:txBody>
    </cdr:sp>
  </cdr:relSizeAnchor>
  <cdr:relSizeAnchor xmlns:cdr="http://schemas.openxmlformats.org/drawingml/2006/chartDrawing">
    <cdr:from>
      <cdr:x>0.10498</cdr:x>
      <cdr:y>0.71822</cdr:y>
    </cdr:from>
    <cdr:to>
      <cdr:x>0.12694</cdr:x>
      <cdr:y>0.815</cdr:y>
    </cdr:to>
    <cdr:sp macro="" textlink="">
      <cdr:nvSpPr>
        <cdr:cNvPr id="4" name="Star: 5 Points 3">
          <a:extLst xmlns:a="http://schemas.openxmlformats.org/drawingml/2006/main">
            <a:ext uri="{FF2B5EF4-FFF2-40B4-BE49-F238E27FC236}">
              <a16:creationId xmlns:a16="http://schemas.microsoft.com/office/drawing/2014/main" id="{529D7907-E09C-DE12-1007-7CCDD0AD279E}"/>
            </a:ext>
          </a:extLst>
        </cdr:cNvPr>
        <cdr:cNvSpPr/>
      </cdr:nvSpPr>
      <cdr:spPr>
        <a:xfrm xmlns:a="http://schemas.openxmlformats.org/drawingml/2006/main">
          <a:off x="2350674" y="3305023"/>
          <a:ext cx="491743" cy="445348"/>
        </a:xfrm>
        <a:prstGeom xmlns:a="http://schemas.openxmlformats.org/drawingml/2006/main" prst="star5">
          <a:avLst/>
        </a:prstGeom>
        <a:solidFill xmlns:a="http://schemas.openxmlformats.org/drawingml/2006/main">
          <a:srgbClr val="FFFF00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>
              <a:solidFill>
                <a:schemeClr val="tx1"/>
              </a:solidFill>
            </a:rPr>
            <a:t>1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168E7-3546-4922-A4DD-F9986BF348C6}">
  <dimension ref="A1:AO152"/>
  <sheetViews>
    <sheetView tabSelected="1" zoomScale="80" zoomScaleNormal="80" workbookViewId="0">
      <pane ySplit="1" topLeftCell="A51" activePane="bottomLeft" state="frozen"/>
      <selection pane="bottomLeft" activeCell="A65" sqref="A65:J65"/>
    </sheetView>
  </sheetViews>
  <sheetFormatPr defaultRowHeight="14.5" x14ac:dyDescent="0.35"/>
  <cols>
    <col min="1" max="1" width="12.36328125" customWidth="1"/>
    <col min="2" max="2" width="13.90625" customWidth="1"/>
    <col min="3" max="3" width="10.7265625" customWidth="1"/>
    <col min="4" max="4" width="21.81640625" bestFit="1" customWidth="1"/>
    <col min="5" max="5" width="11.08984375" customWidth="1"/>
    <col min="6" max="6" width="11.81640625" customWidth="1"/>
    <col min="7" max="7" width="10.6328125" customWidth="1"/>
    <col min="8" max="8" width="13.81640625" customWidth="1"/>
    <col min="9" max="9" width="13.90625" bestFit="1" customWidth="1"/>
    <col min="10" max="10" width="13.90625" style="8" customWidth="1"/>
    <col min="11" max="11" width="2.36328125" customWidth="1"/>
    <col min="12" max="12" width="30.26953125" customWidth="1"/>
    <col min="13" max="13" width="14.1796875" bestFit="1" customWidth="1"/>
    <col min="14" max="14" width="30.26953125" customWidth="1"/>
    <col min="15" max="15" width="20.453125" customWidth="1"/>
    <col min="16" max="16" width="30.08984375" bestFit="1" customWidth="1"/>
    <col min="17" max="17" width="17.453125" customWidth="1"/>
    <col min="18" max="18" width="21.81640625" bestFit="1" customWidth="1"/>
    <col min="19" max="19" width="15.08984375" bestFit="1" customWidth="1"/>
    <col min="20" max="20" width="29.26953125" customWidth="1"/>
    <col min="21" max="21" width="11.7265625" bestFit="1" customWidth="1"/>
    <col min="22" max="22" width="18.6328125" customWidth="1"/>
    <col min="23" max="23" width="15.26953125" customWidth="1"/>
    <col min="24" max="24" width="28.1796875" customWidth="1"/>
    <col min="25" max="25" width="13.36328125" bestFit="1" customWidth="1"/>
    <col min="26" max="26" width="2.36328125" customWidth="1"/>
    <col min="27" max="27" width="19.6328125" customWidth="1"/>
    <col min="28" max="28" width="11.90625" customWidth="1"/>
    <col min="29" max="29" width="2.453125" customWidth="1"/>
    <col min="30" max="30" width="25.453125" customWidth="1"/>
    <col min="31" max="31" width="11.90625" bestFit="1" customWidth="1"/>
    <col min="32" max="32" width="2.453125" customWidth="1"/>
    <col min="33" max="33" width="15.90625" customWidth="1"/>
    <col min="34" max="34" width="10.90625" customWidth="1"/>
    <col min="35" max="35" width="2.453125" customWidth="1"/>
    <col min="36" max="36" width="12.90625" customWidth="1"/>
    <col min="37" max="37" width="13" customWidth="1"/>
    <col min="38" max="38" width="2.36328125" customWidth="1"/>
    <col min="40" max="40" width="10.453125" customWidth="1"/>
  </cols>
  <sheetData>
    <row r="1" spans="1:41" s="1" customFormat="1" ht="15.5" x14ac:dyDescent="0.35">
      <c r="A1" s="46" t="s">
        <v>0</v>
      </c>
      <c r="B1" s="47"/>
      <c r="C1" s="46" t="s">
        <v>1</v>
      </c>
      <c r="D1" s="47"/>
      <c r="E1" s="42" t="s">
        <v>111</v>
      </c>
      <c r="F1" s="46" t="s">
        <v>2</v>
      </c>
      <c r="G1" s="47"/>
      <c r="H1" s="48" t="s">
        <v>103</v>
      </c>
      <c r="I1" s="42" t="s">
        <v>116</v>
      </c>
      <c r="J1" s="47" t="s">
        <v>121</v>
      </c>
      <c r="L1" s="87" t="s">
        <v>240</v>
      </c>
      <c r="M1" s="114">
        <v>50000</v>
      </c>
      <c r="N1" s="87" t="s">
        <v>207</v>
      </c>
      <c r="O1" s="88">
        <v>135000</v>
      </c>
      <c r="P1" s="117" t="s">
        <v>209</v>
      </c>
      <c r="Q1" s="118">
        <v>31250</v>
      </c>
      <c r="R1" s="102" t="s">
        <v>127</v>
      </c>
      <c r="S1" s="103">
        <v>150000</v>
      </c>
      <c r="T1" s="61" t="s">
        <v>163</v>
      </c>
      <c r="U1" s="62">
        <v>31250</v>
      </c>
      <c r="V1" s="74" t="s">
        <v>87</v>
      </c>
      <c r="W1" s="75">
        <v>87000</v>
      </c>
      <c r="X1" s="74" t="s">
        <v>57</v>
      </c>
      <c r="Y1" s="75">
        <v>100000</v>
      </c>
      <c r="Z1" s="14"/>
      <c r="AA1" s="22" t="s">
        <v>5</v>
      </c>
      <c r="AB1" s="29">
        <f>20000+5000+35000+11366</f>
        <v>71366</v>
      </c>
      <c r="AC1" s="3"/>
      <c r="AD1" s="22" t="s">
        <v>4</v>
      </c>
      <c r="AE1" s="33">
        <v>18150</v>
      </c>
      <c r="AF1" s="3"/>
      <c r="AG1" s="22" t="s">
        <v>3</v>
      </c>
      <c r="AH1" s="33">
        <v>21950</v>
      </c>
      <c r="AI1" s="4"/>
      <c r="AJ1" s="22" t="s">
        <v>23</v>
      </c>
      <c r="AK1" s="22"/>
      <c r="AM1" s="22" t="s">
        <v>6</v>
      </c>
      <c r="AN1" s="22"/>
      <c r="AO1" s="22"/>
    </row>
    <row r="2" spans="1:41" x14ac:dyDescent="0.35">
      <c r="A2" s="46">
        <v>44075</v>
      </c>
      <c r="B2" s="47">
        <v>772.3</v>
      </c>
      <c r="C2" s="46">
        <v>44075</v>
      </c>
      <c r="D2" s="47">
        <v>1489.2</v>
      </c>
      <c r="E2" s="42">
        <f>B2+D2</f>
        <v>2261.5</v>
      </c>
      <c r="F2" s="46"/>
      <c r="G2" s="47"/>
      <c r="H2" s="48"/>
      <c r="I2" s="42">
        <f t="shared" ref="I2:I6" si="0">G2+H2</f>
        <v>0</v>
      </c>
      <c r="J2" s="47">
        <f>E2+I2</f>
        <v>2261.5</v>
      </c>
      <c r="K2" s="2"/>
      <c r="L2" s="89"/>
      <c r="M2" s="90"/>
      <c r="N2" s="89"/>
      <c r="O2" s="90"/>
      <c r="P2" s="119"/>
      <c r="Q2" s="120"/>
      <c r="R2" s="104"/>
      <c r="S2" s="105"/>
      <c r="T2" s="63"/>
      <c r="U2" s="64"/>
      <c r="V2" s="70" t="s">
        <v>91</v>
      </c>
      <c r="W2" s="71">
        <v>2864</v>
      </c>
      <c r="X2" s="65" t="s">
        <v>61</v>
      </c>
      <c r="Y2" s="66">
        <v>2859</v>
      </c>
      <c r="Z2" s="2"/>
      <c r="AA2" s="30">
        <v>44197</v>
      </c>
      <c r="AB2" s="23">
        <f>129.1+2228.4</f>
        <v>2357.5</v>
      </c>
      <c r="AC2" s="2"/>
      <c r="AD2" s="27" t="s">
        <v>7</v>
      </c>
      <c r="AE2" s="23">
        <f>1224+180+75</f>
        <v>1479</v>
      </c>
      <c r="AF2" s="2"/>
      <c r="AG2" s="30">
        <v>44075</v>
      </c>
      <c r="AH2" s="23">
        <f>3651+2160</f>
        <v>5811</v>
      </c>
      <c r="AI2" s="2"/>
      <c r="AJ2" s="30">
        <v>44075</v>
      </c>
      <c r="AK2" s="37">
        <v>3000</v>
      </c>
      <c r="AL2" s="2"/>
      <c r="AM2" s="30">
        <v>44075</v>
      </c>
      <c r="AN2" s="23">
        <v>260.8</v>
      </c>
      <c r="AO2" s="27"/>
    </row>
    <row r="3" spans="1:41" x14ac:dyDescent="0.35">
      <c r="A3" s="46">
        <v>44105</v>
      </c>
      <c r="B3" s="47">
        <v>2878.7</v>
      </c>
      <c r="C3" s="46">
        <v>44105</v>
      </c>
      <c r="D3" s="47">
        <v>3931.6</v>
      </c>
      <c r="E3" s="42">
        <f>B3+D3</f>
        <v>6810.2999999999993</v>
      </c>
      <c r="F3" s="46"/>
      <c r="G3" s="47"/>
      <c r="H3" s="48"/>
      <c r="I3" s="42">
        <f t="shared" si="0"/>
        <v>0</v>
      </c>
      <c r="J3" s="47">
        <f t="shared" ref="J3:J41" si="1">E3+I3</f>
        <v>6810.2999999999993</v>
      </c>
      <c r="K3" s="2"/>
      <c r="L3" s="89"/>
      <c r="M3" s="90"/>
      <c r="N3" s="89"/>
      <c r="O3" s="90"/>
      <c r="P3" s="119"/>
      <c r="Q3" s="120"/>
      <c r="R3" s="104"/>
      <c r="S3" s="105"/>
      <c r="T3" s="63"/>
      <c r="U3" s="64"/>
      <c r="V3" s="70" t="s">
        <v>92</v>
      </c>
      <c r="W3" s="71">
        <v>2992.35</v>
      </c>
      <c r="X3" s="76" t="s">
        <v>50</v>
      </c>
      <c r="Y3" s="66">
        <v>2770</v>
      </c>
      <c r="Z3" s="2"/>
      <c r="AA3" s="30">
        <v>44228</v>
      </c>
      <c r="AB3" s="23">
        <f>4357+1861+73.1</f>
        <v>6291.1</v>
      </c>
      <c r="AC3" s="2"/>
      <c r="AD3" s="27" t="s">
        <v>8</v>
      </c>
      <c r="AE3" s="23">
        <v>564</v>
      </c>
      <c r="AF3" s="2"/>
      <c r="AG3" s="30">
        <v>44105</v>
      </c>
      <c r="AH3" s="38" t="s">
        <v>21</v>
      </c>
      <c r="AI3" s="2"/>
      <c r="AJ3" s="30">
        <v>44105</v>
      </c>
      <c r="AK3" s="24" t="s">
        <v>21</v>
      </c>
      <c r="AL3" s="2"/>
      <c r="AM3" s="30">
        <v>44105</v>
      </c>
      <c r="AN3" s="24" t="s">
        <v>21</v>
      </c>
      <c r="AO3" s="27"/>
    </row>
    <row r="4" spans="1:41" ht="15.5" x14ac:dyDescent="0.35">
      <c r="A4" s="46">
        <v>44136</v>
      </c>
      <c r="B4" s="47">
        <v>2471</v>
      </c>
      <c r="C4" s="46">
        <v>44136</v>
      </c>
      <c r="D4" s="47">
        <v>3648.6</v>
      </c>
      <c r="E4" s="42">
        <f t="shared" ref="E4:E45" si="2">B4+D4</f>
        <v>6119.6</v>
      </c>
      <c r="F4" s="46"/>
      <c r="G4" s="47"/>
      <c r="H4" s="48"/>
      <c r="I4" s="42">
        <f t="shared" si="0"/>
        <v>0</v>
      </c>
      <c r="J4" s="47">
        <f t="shared" si="1"/>
        <v>6119.6</v>
      </c>
      <c r="K4" s="2"/>
      <c r="L4" s="89"/>
      <c r="M4" s="90"/>
      <c r="N4" s="89"/>
      <c r="O4" s="90"/>
      <c r="P4" s="119"/>
      <c r="Q4" s="120"/>
      <c r="R4" s="104"/>
      <c r="S4" s="105"/>
      <c r="T4" s="63"/>
      <c r="U4" s="64"/>
      <c r="V4" s="70" t="s">
        <v>93</v>
      </c>
      <c r="W4" s="71">
        <v>1308</v>
      </c>
      <c r="X4" s="76" t="s">
        <v>51</v>
      </c>
      <c r="Y4" s="66">
        <v>3507</v>
      </c>
      <c r="Z4" s="2"/>
      <c r="AA4" s="30">
        <v>44256</v>
      </c>
      <c r="AB4" s="23">
        <f>218.64+186.5</f>
        <v>405.14</v>
      </c>
      <c r="AC4" s="2"/>
      <c r="AD4" s="27" t="s">
        <v>15</v>
      </c>
      <c r="AE4" s="23">
        <f>3354+200</f>
        <v>3554</v>
      </c>
      <c r="AF4" s="2"/>
      <c r="AG4" s="30">
        <v>44136</v>
      </c>
      <c r="AH4" s="23">
        <f>2471+540</f>
        <v>3011</v>
      </c>
      <c r="AI4" s="2"/>
      <c r="AJ4" s="22" t="s">
        <v>22</v>
      </c>
      <c r="AK4" s="22"/>
      <c r="AL4" s="2"/>
      <c r="AM4" s="30">
        <v>44136</v>
      </c>
      <c r="AN4" s="23">
        <v>3108.6</v>
      </c>
      <c r="AO4" s="27"/>
    </row>
    <row r="5" spans="1:41" x14ac:dyDescent="0.35">
      <c r="A5" s="46">
        <v>44166</v>
      </c>
      <c r="B5" s="47">
        <v>5905.6</v>
      </c>
      <c r="C5" s="46">
        <v>44166</v>
      </c>
      <c r="D5" s="47">
        <f>4879+360</f>
        <v>5239</v>
      </c>
      <c r="E5" s="42">
        <f t="shared" si="2"/>
        <v>11144.6</v>
      </c>
      <c r="F5" s="46"/>
      <c r="G5" s="47"/>
      <c r="H5" s="48"/>
      <c r="I5" s="42">
        <f t="shared" si="0"/>
        <v>0</v>
      </c>
      <c r="J5" s="47">
        <f t="shared" si="1"/>
        <v>11144.6</v>
      </c>
      <c r="K5" s="2"/>
      <c r="L5" s="89"/>
      <c r="M5" s="90"/>
      <c r="N5" s="89"/>
      <c r="O5" s="90"/>
      <c r="P5" s="119"/>
      <c r="Q5" s="120"/>
      <c r="R5" s="104"/>
      <c r="S5" s="105"/>
      <c r="T5" s="63"/>
      <c r="U5" s="64"/>
      <c r="V5" s="70" t="s">
        <v>94</v>
      </c>
      <c r="W5" s="71">
        <v>2130</v>
      </c>
      <c r="X5" s="76" t="s">
        <v>68</v>
      </c>
      <c r="Y5" s="80">
        <v>4319.32</v>
      </c>
      <c r="Z5" s="2"/>
      <c r="AA5" s="30">
        <v>44287</v>
      </c>
      <c r="AB5" s="23">
        <f>476.11+706</f>
        <v>1182.1100000000001</v>
      </c>
      <c r="AC5" s="2"/>
      <c r="AD5" s="27" t="s">
        <v>9</v>
      </c>
      <c r="AE5" s="23">
        <v>1616.3</v>
      </c>
      <c r="AF5" s="2"/>
      <c r="AG5" s="30">
        <v>44166</v>
      </c>
      <c r="AH5" s="23">
        <f>5905.6+1260</f>
        <v>7165.6</v>
      </c>
      <c r="AI5" s="2"/>
      <c r="AJ5" s="27"/>
      <c r="AK5" s="23">
        <v>48</v>
      </c>
      <c r="AL5" s="2"/>
      <c r="AM5" s="30">
        <v>44166</v>
      </c>
      <c r="AN5" s="23">
        <f>3619+360</f>
        <v>3979</v>
      </c>
      <c r="AO5" s="27"/>
    </row>
    <row r="6" spans="1:41" ht="15" thickBot="1" x14ac:dyDescent="0.4">
      <c r="A6" s="19">
        <v>44197</v>
      </c>
      <c r="B6" s="2">
        <v>5551.5</v>
      </c>
      <c r="C6" s="19">
        <v>44197</v>
      </c>
      <c r="D6" s="2">
        <f>5050+370</f>
        <v>5420</v>
      </c>
      <c r="E6" s="2">
        <f t="shared" si="2"/>
        <v>10971.5</v>
      </c>
      <c r="F6" s="8"/>
      <c r="G6" s="2"/>
      <c r="H6" s="2"/>
      <c r="I6" s="2">
        <f t="shared" si="0"/>
        <v>0</v>
      </c>
      <c r="J6" s="21">
        <f t="shared" si="1"/>
        <v>10971.5</v>
      </c>
      <c r="K6" s="2"/>
      <c r="L6" s="89"/>
      <c r="M6" s="90"/>
      <c r="N6" s="89"/>
      <c r="O6" s="90"/>
      <c r="P6" s="119"/>
      <c r="Q6" s="120"/>
      <c r="R6" s="104"/>
      <c r="S6" s="105"/>
      <c r="T6" s="63"/>
      <c r="U6" s="64"/>
      <c r="V6" s="76" t="s">
        <v>104</v>
      </c>
      <c r="W6" s="66">
        <v>405.42</v>
      </c>
      <c r="X6" s="70" t="s">
        <v>69</v>
      </c>
      <c r="Y6" s="71">
        <v>2178</v>
      </c>
      <c r="Z6" s="2"/>
      <c r="AA6" s="30">
        <v>44317</v>
      </c>
      <c r="AB6" s="23">
        <v>598.13</v>
      </c>
      <c r="AC6" s="2"/>
      <c r="AD6" s="27" t="s">
        <v>10</v>
      </c>
      <c r="AE6" s="23">
        <f>2376+130</f>
        <v>2506</v>
      </c>
      <c r="AF6" s="2"/>
      <c r="AG6" s="30">
        <v>44197</v>
      </c>
      <c r="AH6" s="31">
        <f>5551.5+540</f>
        <v>6091.5</v>
      </c>
      <c r="AI6" s="2"/>
      <c r="AJ6" s="27"/>
      <c r="AK6" s="23">
        <v>180</v>
      </c>
      <c r="AL6" s="2"/>
      <c r="AM6" s="30">
        <v>44197</v>
      </c>
      <c r="AN6" s="31">
        <f>2281.6+370</f>
        <v>2651.6</v>
      </c>
      <c r="AO6" s="27"/>
    </row>
    <row r="7" spans="1:41" ht="15" thickTop="1" x14ac:dyDescent="0.35">
      <c r="A7" s="19">
        <v>44228</v>
      </c>
      <c r="B7" s="2">
        <v>1861</v>
      </c>
      <c r="C7" s="19">
        <v>44228</v>
      </c>
      <c r="D7" s="2">
        <f>3732+265+360</f>
        <v>4357</v>
      </c>
      <c r="E7" s="2">
        <f t="shared" si="2"/>
        <v>6218</v>
      </c>
      <c r="F7" s="19">
        <v>44228</v>
      </c>
      <c r="G7" s="2">
        <v>73.099999999999994</v>
      </c>
      <c r="H7" s="2"/>
      <c r="I7" s="2">
        <f>G7+H7</f>
        <v>73.099999999999994</v>
      </c>
      <c r="J7" s="21">
        <f t="shared" si="1"/>
        <v>6291.1</v>
      </c>
      <c r="K7" s="2"/>
      <c r="L7" s="89"/>
      <c r="M7" s="90"/>
      <c r="N7" s="89"/>
      <c r="O7" s="90"/>
      <c r="P7" s="119"/>
      <c r="Q7" s="120"/>
      <c r="R7" s="104"/>
      <c r="S7" s="105"/>
      <c r="T7" s="63"/>
      <c r="U7" s="64"/>
      <c r="V7" s="70" t="s">
        <v>95</v>
      </c>
      <c r="W7" s="71">
        <v>1644</v>
      </c>
      <c r="X7" s="70" t="s">
        <v>70</v>
      </c>
      <c r="Y7" s="71">
        <v>2371.4</v>
      </c>
      <c r="Z7" s="2"/>
      <c r="AA7" s="30">
        <v>44348</v>
      </c>
      <c r="AB7" s="23">
        <v>1618.72</v>
      </c>
      <c r="AC7" s="2"/>
      <c r="AD7" s="27" t="s">
        <v>11</v>
      </c>
      <c r="AE7" s="23">
        <v>1218.5</v>
      </c>
      <c r="AF7" s="2"/>
      <c r="AG7" s="27"/>
      <c r="AH7" s="23">
        <f>SUM(AH2:AH6)</f>
        <v>22079.1</v>
      </c>
      <c r="AI7" s="2"/>
      <c r="AJ7" s="27"/>
      <c r="AK7" s="23">
        <v>48</v>
      </c>
      <c r="AL7" s="2"/>
      <c r="AM7" s="27"/>
      <c r="AN7" s="25">
        <f>SUM(AN2:AN6)</f>
        <v>10000</v>
      </c>
      <c r="AO7" s="27"/>
    </row>
    <row r="8" spans="1:41" ht="15" thickBot="1" x14ac:dyDescent="0.4">
      <c r="A8" s="19">
        <v>44256</v>
      </c>
      <c r="B8" s="2">
        <v>186.5</v>
      </c>
      <c r="C8" s="19">
        <v>44256</v>
      </c>
      <c r="D8" s="2">
        <f>180+40</f>
        <v>220</v>
      </c>
      <c r="E8" s="2">
        <f t="shared" si="2"/>
        <v>406.5</v>
      </c>
      <c r="F8" s="19">
        <v>44256</v>
      </c>
      <c r="G8" s="2">
        <v>218.64</v>
      </c>
      <c r="H8" s="2"/>
      <c r="I8" s="2">
        <f t="shared" ref="I8:I41" si="3">G8+H8</f>
        <v>218.64</v>
      </c>
      <c r="J8" s="21">
        <f t="shared" si="1"/>
        <v>625.14</v>
      </c>
      <c r="K8" s="2"/>
      <c r="L8" s="89"/>
      <c r="M8" s="90"/>
      <c r="N8" s="89"/>
      <c r="O8" s="90"/>
      <c r="P8" s="119"/>
      <c r="Q8" s="120"/>
      <c r="R8" s="104"/>
      <c r="S8" s="105"/>
      <c r="T8" s="63"/>
      <c r="U8" s="64"/>
      <c r="V8" s="70" t="s">
        <v>96</v>
      </c>
      <c r="W8" s="71">
        <v>1590.3</v>
      </c>
      <c r="X8" s="70" t="s">
        <v>73</v>
      </c>
      <c r="Y8" s="71">
        <v>4578.6899999999996</v>
      </c>
      <c r="Z8" s="2"/>
      <c r="AA8" s="30">
        <v>44378</v>
      </c>
      <c r="AB8" s="23">
        <v>2388.37</v>
      </c>
      <c r="AC8" s="5"/>
      <c r="AD8" s="27" t="s">
        <v>16</v>
      </c>
      <c r="AE8" s="23">
        <f>2007+140</f>
        <v>2147</v>
      </c>
      <c r="AF8" s="2"/>
      <c r="AG8" s="27"/>
      <c r="AH8" s="25">
        <f>AH1-AH7</f>
        <v>-129.09999999999854</v>
      </c>
      <c r="AI8" s="2"/>
      <c r="AJ8" s="24" t="s">
        <v>18</v>
      </c>
      <c r="AK8" s="31">
        <v>1724</v>
      </c>
      <c r="AL8" s="2"/>
      <c r="AN8" s="2"/>
    </row>
    <row r="9" spans="1:41" ht="15" thickTop="1" x14ac:dyDescent="0.35">
      <c r="A9" s="19">
        <v>44287</v>
      </c>
      <c r="B9" s="2">
        <v>0</v>
      </c>
      <c r="C9" s="19">
        <v>44287</v>
      </c>
      <c r="D9" s="2">
        <f>534+180</f>
        <v>714</v>
      </c>
      <c r="E9" s="2">
        <f t="shared" si="2"/>
        <v>714</v>
      </c>
      <c r="F9" s="19">
        <v>44287</v>
      </c>
      <c r="G9" s="2">
        <v>476.11</v>
      </c>
      <c r="H9" s="2"/>
      <c r="I9" s="2">
        <f t="shared" si="3"/>
        <v>476.11</v>
      </c>
      <c r="J9" s="21">
        <f t="shared" si="1"/>
        <v>1190.1100000000001</v>
      </c>
      <c r="K9" s="2"/>
      <c r="L9" s="89"/>
      <c r="M9" s="90"/>
      <c r="N9" s="89"/>
      <c r="O9" s="90"/>
      <c r="P9" s="119"/>
      <c r="Q9" s="120"/>
      <c r="R9" s="104"/>
      <c r="S9" s="105"/>
      <c r="T9" s="63"/>
      <c r="U9" s="64"/>
      <c r="V9" s="76" t="s">
        <v>105</v>
      </c>
      <c r="W9" s="66">
        <v>310.56</v>
      </c>
      <c r="X9" s="70" t="s">
        <v>71</v>
      </c>
      <c r="Y9" s="71">
        <v>4515</v>
      </c>
      <c r="Z9" s="2"/>
      <c r="AA9" s="30">
        <v>44409</v>
      </c>
      <c r="AB9" s="23">
        <v>3017.75</v>
      </c>
      <c r="AC9" s="2"/>
      <c r="AD9" s="27" t="s">
        <v>17</v>
      </c>
      <c r="AE9" s="23">
        <v>2470.5</v>
      </c>
      <c r="AF9" s="2"/>
      <c r="AH9" s="2"/>
      <c r="AI9" s="2"/>
      <c r="AJ9" s="27"/>
      <c r="AK9" s="25">
        <f>SUM(AK5:AK8)</f>
        <v>2000</v>
      </c>
      <c r="AL9" s="2"/>
      <c r="AM9" s="2"/>
      <c r="AN9" s="2"/>
    </row>
    <row r="10" spans="1:41" x14ac:dyDescent="0.35">
      <c r="A10" s="19">
        <v>44317</v>
      </c>
      <c r="B10" s="2">
        <v>564</v>
      </c>
      <c r="C10" s="19">
        <v>44317</v>
      </c>
      <c r="D10" s="2">
        <f>1224+180+75</f>
        <v>1479</v>
      </c>
      <c r="E10" s="2">
        <f t="shared" si="2"/>
        <v>2043</v>
      </c>
      <c r="F10" s="19">
        <v>44317</v>
      </c>
      <c r="G10" s="2">
        <v>598.13</v>
      </c>
      <c r="H10" s="2"/>
      <c r="I10" s="2">
        <f t="shared" si="3"/>
        <v>598.13</v>
      </c>
      <c r="J10" s="21">
        <f t="shared" si="1"/>
        <v>2641.13</v>
      </c>
      <c r="K10" s="2"/>
      <c r="L10" s="89"/>
      <c r="M10" s="90"/>
      <c r="N10" s="89"/>
      <c r="O10" s="90"/>
      <c r="P10" s="119"/>
      <c r="Q10" s="120"/>
      <c r="R10" s="104"/>
      <c r="S10" s="105"/>
      <c r="T10" s="63"/>
      <c r="U10" s="64"/>
      <c r="V10" s="70" t="s">
        <v>97</v>
      </c>
      <c r="W10" s="71">
        <v>2628</v>
      </c>
      <c r="X10" s="70" t="s">
        <v>72</v>
      </c>
      <c r="Y10" s="71">
        <v>2480.9499999999998</v>
      </c>
      <c r="Z10" s="2"/>
      <c r="AA10" s="30">
        <v>44440</v>
      </c>
      <c r="AB10" s="23">
        <v>3774.34</v>
      </c>
      <c r="AC10" s="2"/>
      <c r="AD10" s="27" t="s">
        <v>18</v>
      </c>
      <c r="AE10" s="23">
        <f>D14-AK8</f>
        <v>933</v>
      </c>
      <c r="AF10" s="2"/>
      <c r="AG10" t="s">
        <v>52</v>
      </c>
      <c r="AH10" s="2"/>
      <c r="AI10" s="2"/>
      <c r="AK10" s="2"/>
      <c r="AL10" s="2"/>
      <c r="AN10" s="2"/>
    </row>
    <row r="11" spans="1:41" ht="15" thickBot="1" x14ac:dyDescent="0.4">
      <c r="A11" s="19">
        <v>44348</v>
      </c>
      <c r="B11" s="2">
        <v>1616.3</v>
      </c>
      <c r="C11" s="19">
        <v>44348</v>
      </c>
      <c r="D11" s="2">
        <f>3354+200</f>
        <v>3554</v>
      </c>
      <c r="E11" s="2">
        <f t="shared" si="2"/>
        <v>5170.3</v>
      </c>
      <c r="F11" s="19">
        <v>44348</v>
      </c>
      <c r="G11" s="2">
        <v>1618.72</v>
      </c>
      <c r="H11" s="2"/>
      <c r="I11" s="2">
        <f t="shared" si="3"/>
        <v>1618.72</v>
      </c>
      <c r="J11" s="21">
        <f t="shared" si="1"/>
        <v>6789.02</v>
      </c>
      <c r="K11" s="2"/>
      <c r="L11" s="89"/>
      <c r="M11" s="90"/>
      <c r="N11" s="89"/>
      <c r="O11" s="90"/>
      <c r="P11" s="119"/>
      <c r="Q11" s="120"/>
      <c r="R11" s="104"/>
      <c r="S11" s="105"/>
      <c r="T11" s="63"/>
      <c r="U11" s="64"/>
      <c r="V11" s="70" t="s">
        <v>98</v>
      </c>
      <c r="W11" s="71">
        <v>3349.1</v>
      </c>
      <c r="X11" s="70" t="s">
        <v>74</v>
      </c>
      <c r="Y11" s="71">
        <v>3598.24</v>
      </c>
      <c r="Z11" s="2"/>
      <c r="AA11" s="30">
        <v>44470</v>
      </c>
      <c r="AB11" s="23">
        <v>3492.27</v>
      </c>
      <c r="AC11" s="2"/>
      <c r="AD11" s="27" t="s">
        <v>19</v>
      </c>
      <c r="AE11" s="31">
        <v>2399.5</v>
      </c>
      <c r="AF11" s="2"/>
      <c r="AG11" t="s">
        <v>5</v>
      </c>
      <c r="AH11" s="2"/>
      <c r="AI11" s="2"/>
      <c r="AN11" s="2"/>
    </row>
    <row r="12" spans="1:41" ht="15" thickTop="1" x14ac:dyDescent="0.35">
      <c r="A12" s="19">
        <v>44378</v>
      </c>
      <c r="B12" s="2">
        <v>1218.5</v>
      </c>
      <c r="C12" s="19">
        <v>44378</v>
      </c>
      <c r="D12" s="2">
        <f>2376+130</f>
        <v>2506</v>
      </c>
      <c r="E12" s="2">
        <f t="shared" si="2"/>
        <v>3724.5</v>
      </c>
      <c r="F12" s="19">
        <v>44378</v>
      </c>
      <c r="G12" s="2">
        <v>2388.37</v>
      </c>
      <c r="H12" s="2"/>
      <c r="I12" s="2">
        <f t="shared" si="3"/>
        <v>2388.37</v>
      </c>
      <c r="J12" s="21">
        <f t="shared" si="1"/>
        <v>6112.87</v>
      </c>
      <c r="K12" s="2"/>
      <c r="L12" s="89"/>
      <c r="M12" s="90"/>
      <c r="N12" s="89"/>
      <c r="O12" s="90"/>
      <c r="P12" s="119"/>
      <c r="Q12" s="120"/>
      <c r="R12" s="106"/>
      <c r="S12" s="107"/>
      <c r="T12" s="63"/>
      <c r="U12" s="64"/>
      <c r="V12" s="76" t="s">
        <v>106</v>
      </c>
      <c r="W12" s="66">
        <v>149.16999999999999</v>
      </c>
      <c r="X12" s="70" t="s">
        <v>75</v>
      </c>
      <c r="Y12" s="71">
        <v>3936</v>
      </c>
      <c r="Z12" s="2"/>
      <c r="AA12" s="30">
        <v>44501</v>
      </c>
      <c r="AB12" s="23">
        <v>2147.85</v>
      </c>
      <c r="AC12" s="2"/>
      <c r="AD12" s="27"/>
      <c r="AE12" s="23">
        <f>SUM(AE2:AE11)</f>
        <v>18887.8</v>
      </c>
      <c r="AF12" s="2"/>
      <c r="AG12" t="s">
        <v>12</v>
      </c>
      <c r="AH12" s="2"/>
      <c r="AI12" s="2"/>
      <c r="AN12" s="2"/>
    </row>
    <row r="13" spans="1:41" x14ac:dyDescent="0.35">
      <c r="A13" s="19">
        <v>44409</v>
      </c>
      <c r="B13" s="2">
        <v>2470.5</v>
      </c>
      <c r="C13" s="19">
        <v>44409</v>
      </c>
      <c r="D13" s="2">
        <f>2007+140</f>
        <v>2147</v>
      </c>
      <c r="E13" s="2">
        <f t="shared" si="2"/>
        <v>4617.5</v>
      </c>
      <c r="F13" s="19">
        <v>44409</v>
      </c>
      <c r="G13" s="2">
        <v>3017.75</v>
      </c>
      <c r="H13" s="2"/>
      <c r="I13" s="2">
        <f t="shared" si="3"/>
        <v>3017.75</v>
      </c>
      <c r="J13" s="21">
        <f t="shared" si="1"/>
        <v>7635.25</v>
      </c>
      <c r="K13" s="2"/>
      <c r="L13" s="89"/>
      <c r="M13" s="90"/>
      <c r="N13" s="89"/>
      <c r="O13" s="90"/>
      <c r="P13" s="119"/>
      <c r="Q13" s="120"/>
      <c r="R13" s="104"/>
      <c r="S13" s="105"/>
      <c r="T13" s="63"/>
      <c r="U13" s="64"/>
      <c r="V13" s="70" t="s">
        <v>99</v>
      </c>
      <c r="W13" s="71">
        <v>1975</v>
      </c>
      <c r="X13" s="70" t="s">
        <v>76</v>
      </c>
      <c r="Y13" s="71">
        <v>4111.45</v>
      </c>
      <c r="Z13" s="2"/>
      <c r="AA13" s="30">
        <v>44531</v>
      </c>
      <c r="AB13" s="23">
        <v>3032.66</v>
      </c>
      <c r="AC13" s="2"/>
      <c r="AD13" s="27"/>
      <c r="AE13" s="25">
        <f>AE1-AE12</f>
        <v>-737.79999999999927</v>
      </c>
      <c r="AF13" s="2"/>
      <c r="AG13" t="s">
        <v>13</v>
      </c>
      <c r="AH13" s="2"/>
      <c r="AI13" s="2"/>
      <c r="AN13" s="2"/>
    </row>
    <row r="14" spans="1:41" x14ac:dyDescent="0.35">
      <c r="A14" s="19">
        <v>44440</v>
      </c>
      <c r="B14" s="2">
        <v>2399.5</v>
      </c>
      <c r="C14" s="19">
        <v>44440</v>
      </c>
      <c r="D14" s="2">
        <f>2292+240+125</f>
        <v>2657</v>
      </c>
      <c r="E14" s="2">
        <f t="shared" si="2"/>
        <v>5056.5</v>
      </c>
      <c r="F14" s="19">
        <v>44440</v>
      </c>
      <c r="G14" s="2">
        <v>3774.34</v>
      </c>
      <c r="H14" s="2"/>
      <c r="I14" s="2">
        <f t="shared" si="3"/>
        <v>3774.34</v>
      </c>
      <c r="J14" s="21">
        <f t="shared" si="1"/>
        <v>8830.84</v>
      </c>
      <c r="K14" s="2"/>
      <c r="L14" s="89"/>
      <c r="M14" s="90"/>
      <c r="N14" s="89"/>
      <c r="O14" s="90"/>
      <c r="P14" s="119"/>
      <c r="Q14" s="120"/>
      <c r="R14" s="104"/>
      <c r="S14" s="105"/>
      <c r="T14" s="63"/>
      <c r="U14" s="64"/>
      <c r="V14" s="70" t="s">
        <v>100</v>
      </c>
      <c r="W14" s="71">
        <v>4829.05</v>
      </c>
      <c r="X14" s="70" t="s">
        <v>77</v>
      </c>
      <c r="Y14" s="71">
        <v>3921.32</v>
      </c>
      <c r="Z14" s="2"/>
      <c r="AA14" s="24" t="s">
        <v>33</v>
      </c>
      <c r="AB14" s="25">
        <v>139.4</v>
      </c>
      <c r="AC14" s="2"/>
      <c r="AF14" s="2"/>
      <c r="AG14" s="2" t="s">
        <v>32</v>
      </c>
      <c r="AH14" s="2"/>
      <c r="AI14" s="2"/>
      <c r="AL14" s="2"/>
      <c r="AN14" s="2"/>
    </row>
    <row r="15" spans="1:41" x14ac:dyDescent="0.35">
      <c r="A15" s="19">
        <v>44470</v>
      </c>
      <c r="B15" s="2">
        <v>1985.3</v>
      </c>
      <c r="C15" s="19">
        <v>44470</v>
      </c>
      <c r="D15" s="2">
        <f>3135+180</f>
        <v>3315</v>
      </c>
      <c r="E15" s="2">
        <f t="shared" si="2"/>
        <v>5300.3</v>
      </c>
      <c r="F15" s="19">
        <v>44470</v>
      </c>
      <c r="G15" s="2">
        <v>3492.27</v>
      </c>
      <c r="H15" s="2"/>
      <c r="I15" s="2">
        <f t="shared" si="3"/>
        <v>3492.27</v>
      </c>
      <c r="J15" s="21">
        <f t="shared" si="1"/>
        <v>8792.57</v>
      </c>
      <c r="K15" s="2"/>
      <c r="L15" s="89"/>
      <c r="M15" s="90"/>
      <c r="N15" s="89"/>
      <c r="O15" s="90"/>
      <c r="P15" s="119"/>
      <c r="Q15" s="120"/>
      <c r="R15" s="104"/>
      <c r="S15" s="105"/>
      <c r="T15" s="65"/>
      <c r="U15" s="66"/>
      <c r="V15" s="77" t="s">
        <v>107</v>
      </c>
      <c r="W15" s="66">
        <v>243.96</v>
      </c>
      <c r="X15" s="70" t="s">
        <v>78</v>
      </c>
      <c r="Y15" s="71">
        <v>4320</v>
      </c>
      <c r="Z15" s="2"/>
      <c r="AA15" s="24" t="s">
        <v>29</v>
      </c>
      <c r="AB15" s="23">
        <v>2112</v>
      </c>
      <c r="AC15" s="2"/>
      <c r="AD15" s="28" t="s">
        <v>62</v>
      </c>
      <c r="AE15" s="27"/>
      <c r="AF15" s="2"/>
      <c r="AG15" t="s">
        <v>31</v>
      </c>
      <c r="AH15" s="2"/>
      <c r="AI15" s="2"/>
      <c r="AL15" s="2"/>
      <c r="AN15" s="2"/>
    </row>
    <row r="16" spans="1:41" ht="15.5" x14ac:dyDescent="0.35">
      <c r="A16" s="19">
        <v>44501</v>
      </c>
      <c r="B16" s="2">
        <v>2355.3000000000002</v>
      </c>
      <c r="C16" s="19">
        <v>44501</v>
      </c>
      <c r="D16" s="2">
        <f>1878+90</f>
        <v>1968</v>
      </c>
      <c r="E16" s="2">
        <f t="shared" si="2"/>
        <v>4323.3</v>
      </c>
      <c r="F16" s="19">
        <v>44501</v>
      </c>
      <c r="G16" s="2">
        <v>2147.85</v>
      </c>
      <c r="H16" s="2"/>
      <c r="I16" s="2">
        <f t="shared" si="3"/>
        <v>2147.85</v>
      </c>
      <c r="J16" s="21">
        <f t="shared" si="1"/>
        <v>6471.15</v>
      </c>
      <c r="K16" s="2"/>
      <c r="L16" s="89"/>
      <c r="M16" s="90"/>
      <c r="N16" s="89"/>
      <c r="O16" s="90"/>
      <c r="P16" s="119"/>
      <c r="Q16" s="120"/>
      <c r="R16" s="104"/>
      <c r="S16" s="105"/>
      <c r="T16" s="65"/>
      <c r="U16" s="66"/>
      <c r="V16" s="70" t="s">
        <v>122</v>
      </c>
      <c r="W16" s="71">
        <v>1383</v>
      </c>
      <c r="X16" s="70" t="s">
        <v>79</v>
      </c>
      <c r="Y16" s="71">
        <v>4256</v>
      </c>
      <c r="Z16" s="2"/>
      <c r="AA16" s="24" t="s">
        <v>34</v>
      </c>
      <c r="AB16" s="23">
        <v>2426.5300000000002</v>
      </c>
      <c r="AC16" s="2"/>
      <c r="AD16" s="22" t="s">
        <v>24</v>
      </c>
      <c r="AE16" s="33">
        <v>13150</v>
      </c>
      <c r="AF16" s="2"/>
      <c r="AG16" t="s">
        <v>56</v>
      </c>
      <c r="AH16" s="2"/>
      <c r="AI16" s="2"/>
      <c r="AL16" s="2"/>
      <c r="AN16" s="2"/>
    </row>
    <row r="17" spans="1:40" x14ac:dyDescent="0.35">
      <c r="A17" s="19">
        <v>44531</v>
      </c>
      <c r="B17" s="2">
        <v>2112</v>
      </c>
      <c r="C17" s="19">
        <v>44531</v>
      </c>
      <c r="D17" s="2">
        <f>2628+180+120</f>
        <v>2928</v>
      </c>
      <c r="E17" s="2">
        <f t="shared" si="2"/>
        <v>5040</v>
      </c>
      <c r="F17" s="19">
        <v>44531</v>
      </c>
      <c r="G17" s="2">
        <v>3032.66</v>
      </c>
      <c r="H17" s="2"/>
      <c r="I17" s="2">
        <f t="shared" si="3"/>
        <v>3032.66</v>
      </c>
      <c r="J17" s="21">
        <f t="shared" si="1"/>
        <v>8072.66</v>
      </c>
      <c r="K17" s="2"/>
      <c r="L17" s="89"/>
      <c r="M17" s="90"/>
      <c r="N17" s="89"/>
      <c r="O17" s="90"/>
      <c r="P17" s="119"/>
      <c r="Q17" s="120"/>
      <c r="R17" s="104"/>
      <c r="S17" s="105"/>
      <c r="T17" s="65"/>
      <c r="U17" s="66"/>
      <c r="V17" s="70" t="s">
        <v>123</v>
      </c>
      <c r="W17" s="71">
        <v>3878.9</v>
      </c>
      <c r="X17" s="70" t="s">
        <v>80</v>
      </c>
      <c r="Y17" s="71">
        <v>3738.53</v>
      </c>
      <c r="Z17" s="2"/>
      <c r="AA17" s="24" t="s">
        <v>35</v>
      </c>
      <c r="AB17" s="23">
        <f>2184+180+125</f>
        <v>2489</v>
      </c>
      <c r="AC17" s="2"/>
      <c r="AD17" s="27" t="s">
        <v>30</v>
      </c>
      <c r="AE17" s="25">
        <v>737.8</v>
      </c>
      <c r="AF17" s="2"/>
      <c r="AH17" s="2"/>
      <c r="AI17" s="2"/>
      <c r="AL17" s="2"/>
      <c r="AN17" s="2"/>
    </row>
    <row r="18" spans="1:40" x14ac:dyDescent="0.35">
      <c r="A18" s="19">
        <v>44562</v>
      </c>
      <c r="B18" s="2">
        <v>2484.9</v>
      </c>
      <c r="C18" s="19">
        <v>44562</v>
      </c>
      <c r="D18" s="2">
        <f>2184+180+125</f>
        <v>2489</v>
      </c>
      <c r="E18" s="2">
        <f t="shared" si="2"/>
        <v>4973.8999999999996</v>
      </c>
      <c r="F18" s="19">
        <v>44562</v>
      </c>
      <c r="G18" s="2">
        <v>2426.5300000000002</v>
      </c>
      <c r="H18" s="2"/>
      <c r="I18" s="2">
        <f t="shared" si="3"/>
        <v>2426.5300000000002</v>
      </c>
      <c r="J18" s="21">
        <f t="shared" si="1"/>
        <v>7400.43</v>
      </c>
      <c r="K18" s="2"/>
      <c r="L18" s="89"/>
      <c r="M18" s="90"/>
      <c r="N18" s="89"/>
      <c r="O18" s="90"/>
      <c r="P18" s="119"/>
      <c r="Q18" s="120"/>
      <c r="R18" s="106" t="s">
        <v>129</v>
      </c>
      <c r="S18" s="108">
        <v>2602.11</v>
      </c>
      <c r="T18" s="65"/>
      <c r="U18" s="66"/>
      <c r="V18" s="76" t="s">
        <v>124</v>
      </c>
      <c r="W18" s="66">
        <v>449.49</v>
      </c>
      <c r="X18" s="70" t="s">
        <v>81</v>
      </c>
      <c r="Y18" s="71">
        <v>3588</v>
      </c>
      <c r="Z18" s="2"/>
      <c r="AA18" s="24" t="s">
        <v>36</v>
      </c>
      <c r="AB18" s="23">
        <v>2484.9</v>
      </c>
      <c r="AC18" s="2"/>
      <c r="AD18" s="27" t="s">
        <v>20</v>
      </c>
      <c r="AE18" s="34">
        <f>3135+180</f>
        <v>3315</v>
      </c>
      <c r="AF18" s="2"/>
      <c r="AG18" s="2" t="s">
        <v>14</v>
      </c>
      <c r="AH18" s="2"/>
      <c r="AI18" s="2"/>
      <c r="AL18" s="2"/>
      <c r="AN18" s="2"/>
    </row>
    <row r="19" spans="1:40" x14ac:dyDescent="0.35">
      <c r="A19" s="19">
        <v>44593</v>
      </c>
      <c r="B19" s="2">
        <v>4191.5</v>
      </c>
      <c r="C19" s="19">
        <v>44593</v>
      </c>
      <c r="D19" s="2">
        <f>3444+120</f>
        <v>3564</v>
      </c>
      <c r="E19" s="2">
        <f t="shared" si="2"/>
        <v>7755.5</v>
      </c>
      <c r="F19" s="19">
        <v>44593</v>
      </c>
      <c r="G19" s="2">
        <v>2872.53</v>
      </c>
      <c r="H19" s="2"/>
      <c r="I19" s="2">
        <f t="shared" si="3"/>
        <v>2872.53</v>
      </c>
      <c r="J19" s="21">
        <f t="shared" si="1"/>
        <v>10628.03</v>
      </c>
      <c r="K19" s="2"/>
      <c r="L19" s="89"/>
      <c r="M19" s="90"/>
      <c r="N19" s="89"/>
      <c r="O19" s="90"/>
      <c r="P19" s="119"/>
      <c r="Q19" s="120"/>
      <c r="R19" s="106" t="s">
        <v>130</v>
      </c>
      <c r="S19" s="107">
        <v>139.07</v>
      </c>
      <c r="T19" s="65"/>
      <c r="U19" s="66"/>
      <c r="V19" s="77" t="s">
        <v>132</v>
      </c>
      <c r="W19" s="66">
        <v>2094.1</v>
      </c>
      <c r="X19" s="70" t="s">
        <v>82</v>
      </c>
      <c r="Y19" s="71">
        <v>4245.6499999999996</v>
      </c>
      <c r="Z19" s="2"/>
      <c r="AA19" s="24" t="s">
        <v>37</v>
      </c>
      <c r="AB19" s="23">
        <v>2872.53</v>
      </c>
      <c r="AC19" s="2"/>
      <c r="AD19" s="27" t="s">
        <v>26</v>
      </c>
      <c r="AE19" s="23">
        <v>1985.3</v>
      </c>
      <c r="AF19" s="2"/>
      <c r="AG19" s="2"/>
      <c r="AH19" s="2"/>
      <c r="AI19" s="2"/>
      <c r="AL19" s="2"/>
      <c r="AN19" s="2"/>
    </row>
    <row r="20" spans="1:40" x14ac:dyDescent="0.35">
      <c r="A20" s="19">
        <v>44621</v>
      </c>
      <c r="B20" s="2">
        <v>2801.3</v>
      </c>
      <c r="C20" s="19">
        <v>44621</v>
      </c>
      <c r="D20" s="2">
        <v>4890</v>
      </c>
      <c r="E20" s="2">
        <f t="shared" si="2"/>
        <v>7691.3</v>
      </c>
      <c r="F20" s="19">
        <v>44621</v>
      </c>
      <c r="G20" s="2">
        <v>4590.1099999999997</v>
      </c>
      <c r="H20" s="2"/>
      <c r="I20" s="2">
        <f t="shared" si="3"/>
        <v>4590.1099999999997</v>
      </c>
      <c r="J20" s="21">
        <f t="shared" si="1"/>
        <v>12281.41</v>
      </c>
      <c r="K20" s="2"/>
      <c r="L20" s="89"/>
      <c r="M20" s="90"/>
      <c r="N20" s="89"/>
      <c r="O20" s="90"/>
      <c r="P20" s="119"/>
      <c r="Q20" s="120"/>
      <c r="R20" s="109" t="s">
        <v>137</v>
      </c>
      <c r="S20" s="107">
        <v>2679.51</v>
      </c>
      <c r="T20" s="65"/>
      <c r="U20" s="66"/>
      <c r="V20" s="77" t="s">
        <v>133</v>
      </c>
      <c r="W20" s="66">
        <v>1475</v>
      </c>
      <c r="X20" s="70" t="s">
        <v>83</v>
      </c>
      <c r="Y20" s="71">
        <v>3419.72</v>
      </c>
      <c r="Z20" s="2"/>
      <c r="AA20" s="24" t="s">
        <v>38</v>
      </c>
      <c r="AB20" s="23">
        <f>3444+120</f>
        <v>3564</v>
      </c>
      <c r="AC20" s="2"/>
      <c r="AD20" s="27" t="s">
        <v>25</v>
      </c>
      <c r="AE20" s="23">
        <f>1878+90</f>
        <v>1968</v>
      </c>
      <c r="AF20" s="2"/>
      <c r="AG20" s="2" t="s">
        <v>53</v>
      </c>
      <c r="AH20" s="2"/>
      <c r="AI20" s="2"/>
      <c r="AL20" s="2"/>
      <c r="AN20" s="2"/>
    </row>
    <row r="21" spans="1:40" x14ac:dyDescent="0.35">
      <c r="A21" s="19">
        <v>44652</v>
      </c>
      <c r="B21" s="2">
        <v>2654.5</v>
      </c>
      <c r="C21" s="19">
        <v>44652</v>
      </c>
      <c r="D21" s="2">
        <f>180+3276+120</f>
        <v>3576</v>
      </c>
      <c r="E21" s="2">
        <f t="shared" si="2"/>
        <v>6230.5</v>
      </c>
      <c r="F21" s="19">
        <v>44652</v>
      </c>
      <c r="G21" s="2">
        <v>5282.77</v>
      </c>
      <c r="H21" s="2"/>
      <c r="I21" s="2">
        <f t="shared" si="3"/>
        <v>5282.77</v>
      </c>
      <c r="J21" s="21">
        <f t="shared" si="1"/>
        <v>11513.27</v>
      </c>
      <c r="K21" s="2"/>
      <c r="L21" s="89"/>
      <c r="M21" s="90"/>
      <c r="N21" s="89"/>
      <c r="O21" s="90"/>
      <c r="P21" s="119"/>
      <c r="Q21" s="120"/>
      <c r="R21" s="109" t="s">
        <v>138</v>
      </c>
      <c r="S21" s="107">
        <v>0</v>
      </c>
      <c r="T21" s="65"/>
      <c r="U21" s="66"/>
      <c r="V21" s="77" t="s">
        <v>130</v>
      </c>
      <c r="W21" s="66">
        <v>0</v>
      </c>
      <c r="X21" s="70" t="s">
        <v>84</v>
      </c>
      <c r="Y21" s="71">
        <f>1824+180</f>
        <v>2004</v>
      </c>
      <c r="Z21" s="2"/>
      <c r="AA21" s="24" t="s">
        <v>39</v>
      </c>
      <c r="AB21" s="23">
        <v>4191.5</v>
      </c>
      <c r="AC21" s="2"/>
      <c r="AD21" s="27" t="s">
        <v>27</v>
      </c>
      <c r="AE21" s="23">
        <v>2355.3000000000002</v>
      </c>
      <c r="AF21" s="2"/>
      <c r="AG21" s="2" t="s">
        <v>54</v>
      </c>
      <c r="AH21" s="2"/>
      <c r="AI21" s="2"/>
      <c r="AL21" s="2"/>
      <c r="AN21" s="2"/>
    </row>
    <row r="22" spans="1:40" ht="15" thickBot="1" x14ac:dyDescent="0.4">
      <c r="A22" s="19">
        <v>44682</v>
      </c>
      <c r="B22" s="2">
        <v>2374.1</v>
      </c>
      <c r="C22" s="19">
        <v>44682</v>
      </c>
      <c r="D22" s="2">
        <f>3692+180</f>
        <v>3872</v>
      </c>
      <c r="E22" s="2">
        <f t="shared" si="2"/>
        <v>6246.1</v>
      </c>
      <c r="F22" s="19">
        <v>44682</v>
      </c>
      <c r="G22" s="2">
        <v>6185.38</v>
      </c>
      <c r="H22" s="2"/>
      <c r="I22" s="2">
        <f t="shared" si="3"/>
        <v>6185.38</v>
      </c>
      <c r="J22" s="21">
        <f t="shared" si="1"/>
        <v>12431.48</v>
      </c>
      <c r="K22" s="2"/>
      <c r="L22" s="89"/>
      <c r="M22" s="90"/>
      <c r="N22" s="89"/>
      <c r="O22" s="90"/>
      <c r="P22" s="119"/>
      <c r="Q22" s="120"/>
      <c r="R22" s="109" t="s">
        <v>139</v>
      </c>
      <c r="S22" s="107">
        <v>3258.22</v>
      </c>
      <c r="T22" s="65"/>
      <c r="U22" s="66"/>
      <c r="V22" s="77" t="s">
        <v>134</v>
      </c>
      <c r="W22" s="66">
        <v>4930.55</v>
      </c>
      <c r="X22" s="70" t="s">
        <v>85</v>
      </c>
      <c r="Y22" s="71">
        <v>2561.3000000000002</v>
      </c>
      <c r="Z22" s="2"/>
      <c r="AA22" s="24" t="s">
        <v>40</v>
      </c>
      <c r="AB22" s="23">
        <v>4590.1099999999997</v>
      </c>
      <c r="AC22" s="2"/>
      <c r="AD22" s="27" t="s">
        <v>28</v>
      </c>
      <c r="AE22" s="31">
        <f>2628+180+120</f>
        <v>2928</v>
      </c>
      <c r="AF22" s="2"/>
      <c r="AH22" s="12"/>
      <c r="AI22" s="2"/>
      <c r="AL22" s="2"/>
      <c r="AN22" s="2"/>
    </row>
    <row r="23" spans="1:40" ht="15" thickTop="1" x14ac:dyDescent="0.35">
      <c r="A23" s="19">
        <v>44713</v>
      </c>
      <c r="B23" s="2">
        <v>3507</v>
      </c>
      <c r="C23" s="19">
        <v>44713</v>
      </c>
      <c r="D23" s="2">
        <v>2770</v>
      </c>
      <c r="E23" s="2">
        <f t="shared" si="2"/>
        <v>6277</v>
      </c>
      <c r="F23" s="19">
        <v>44713</v>
      </c>
      <c r="G23" s="2">
        <v>4243.07</v>
      </c>
      <c r="H23" s="2"/>
      <c r="I23" s="2">
        <f t="shared" si="3"/>
        <v>4243.07</v>
      </c>
      <c r="J23" s="21">
        <f t="shared" si="1"/>
        <v>10520.07</v>
      </c>
      <c r="K23" s="2"/>
      <c r="L23" s="89"/>
      <c r="M23" s="90"/>
      <c r="N23" s="89"/>
      <c r="O23" s="90"/>
      <c r="P23" s="119"/>
      <c r="Q23" s="120"/>
      <c r="R23" s="109" t="s">
        <v>140</v>
      </c>
      <c r="S23" s="107">
        <v>0</v>
      </c>
      <c r="T23" s="65"/>
      <c r="U23" s="66"/>
      <c r="V23" s="77" t="s">
        <v>135</v>
      </c>
      <c r="W23" s="66">
        <v>1416</v>
      </c>
      <c r="X23" s="70" t="s">
        <v>88</v>
      </c>
      <c r="Y23" s="71">
        <v>2975.65</v>
      </c>
      <c r="Z23" s="2"/>
      <c r="AA23" s="24" t="s">
        <v>43</v>
      </c>
      <c r="AB23" s="23">
        <v>5282.78</v>
      </c>
      <c r="AC23" s="2"/>
      <c r="AD23" s="27"/>
      <c r="AE23" s="23">
        <f>SUM(AE17:AE22)</f>
        <v>13289.400000000001</v>
      </c>
      <c r="AF23" s="2"/>
      <c r="AG23" s="2" t="s">
        <v>86</v>
      </c>
      <c r="AI23" s="2"/>
      <c r="AL23" s="2"/>
      <c r="AN23" s="2"/>
    </row>
    <row r="24" spans="1:40" x14ac:dyDescent="0.35">
      <c r="A24" s="46">
        <v>44743</v>
      </c>
      <c r="B24" s="47">
        <v>2371.4</v>
      </c>
      <c r="C24" s="46">
        <v>44743</v>
      </c>
      <c r="D24" s="47">
        <v>2178</v>
      </c>
      <c r="E24" s="42">
        <f t="shared" si="2"/>
        <v>4549.3999999999996</v>
      </c>
      <c r="F24" s="46">
        <v>44743</v>
      </c>
      <c r="G24" s="47">
        <v>4798.18</v>
      </c>
      <c r="H24" s="48"/>
      <c r="I24" s="42">
        <f t="shared" si="3"/>
        <v>4798.18</v>
      </c>
      <c r="J24" s="47">
        <f t="shared" si="1"/>
        <v>9347.58</v>
      </c>
      <c r="L24" s="56"/>
      <c r="M24" s="57"/>
      <c r="N24" s="56"/>
      <c r="O24" s="57"/>
      <c r="P24" s="121"/>
      <c r="Q24" s="122"/>
      <c r="R24" s="109" t="s">
        <v>146</v>
      </c>
      <c r="S24" s="107">
        <v>3132.25</v>
      </c>
      <c r="T24" s="63"/>
      <c r="U24" s="64"/>
      <c r="V24" s="76" t="s">
        <v>136</v>
      </c>
      <c r="W24" s="66">
        <v>556.28</v>
      </c>
      <c r="X24" s="70" t="s">
        <v>89</v>
      </c>
      <c r="Y24" s="71">
        <v>1183.1300000000001</v>
      </c>
      <c r="AA24" s="24" t="s">
        <v>46</v>
      </c>
      <c r="AB24" s="23">
        <v>6185.38</v>
      </c>
      <c r="AD24" s="27"/>
      <c r="AE24" s="25">
        <f>AE16-AE23</f>
        <v>-139.40000000000146</v>
      </c>
    </row>
    <row r="25" spans="1:40" ht="15.5" x14ac:dyDescent="0.35">
      <c r="A25" s="46">
        <v>44774</v>
      </c>
      <c r="B25" s="47">
        <v>2480.9499999999998</v>
      </c>
      <c r="C25" s="46">
        <v>44774</v>
      </c>
      <c r="D25" s="47">
        <v>4515</v>
      </c>
      <c r="E25" s="42">
        <f t="shared" si="2"/>
        <v>6995.95</v>
      </c>
      <c r="F25" s="46">
        <v>44774</v>
      </c>
      <c r="G25" s="47">
        <v>4578.6899999999996</v>
      </c>
      <c r="H25" s="48"/>
      <c r="I25" s="42">
        <f t="shared" si="3"/>
        <v>4578.6899999999996</v>
      </c>
      <c r="J25" s="47">
        <f t="shared" si="1"/>
        <v>11574.64</v>
      </c>
      <c r="L25" s="56"/>
      <c r="M25" s="57"/>
      <c r="N25" s="56"/>
      <c r="O25" s="57"/>
      <c r="P25" s="121"/>
      <c r="Q25" s="122"/>
      <c r="R25" s="109" t="s">
        <v>145</v>
      </c>
      <c r="S25" s="107">
        <v>531.25</v>
      </c>
      <c r="T25" s="63"/>
      <c r="U25" s="64"/>
      <c r="V25" s="77" t="s">
        <v>141</v>
      </c>
      <c r="W25" s="66">
        <v>6244.95</v>
      </c>
      <c r="X25" s="76" t="s">
        <v>104</v>
      </c>
      <c r="Y25" s="66">
        <v>136.24</v>
      </c>
      <c r="AA25" s="24" t="s">
        <v>49</v>
      </c>
      <c r="AB25" s="23">
        <v>4243.07</v>
      </c>
      <c r="AD25" s="13"/>
      <c r="AG25" s="16" t="s">
        <v>58</v>
      </c>
      <c r="AH25" s="2"/>
    </row>
    <row r="26" spans="1:40" ht="15" thickBot="1" x14ac:dyDescent="0.4">
      <c r="A26" s="46">
        <v>44805</v>
      </c>
      <c r="B26" s="47">
        <v>4111.45</v>
      </c>
      <c r="C26" s="46">
        <v>44805</v>
      </c>
      <c r="D26" s="47">
        <v>3936</v>
      </c>
      <c r="E26" s="42">
        <f t="shared" si="2"/>
        <v>8047.45</v>
      </c>
      <c r="F26" s="46">
        <v>44805</v>
      </c>
      <c r="G26" s="47">
        <v>3598.24</v>
      </c>
      <c r="H26" s="48"/>
      <c r="I26" s="42">
        <f t="shared" si="3"/>
        <v>3598.24</v>
      </c>
      <c r="J26" s="47">
        <f t="shared" si="1"/>
        <v>11645.689999999999</v>
      </c>
      <c r="L26" s="56"/>
      <c r="M26" s="57"/>
      <c r="N26" s="56"/>
      <c r="O26" s="57"/>
      <c r="P26" s="121"/>
      <c r="Q26" s="122"/>
      <c r="R26" s="109" t="s">
        <v>147</v>
      </c>
      <c r="S26" s="107">
        <v>2574.0300000000002</v>
      </c>
      <c r="T26" s="63"/>
      <c r="U26" s="64"/>
      <c r="V26" s="77" t="s">
        <v>142</v>
      </c>
      <c r="W26" s="66">
        <v>2264</v>
      </c>
      <c r="X26" s="70" t="s">
        <v>90</v>
      </c>
      <c r="Y26" s="71">
        <v>2326.15</v>
      </c>
      <c r="AA26" s="26" t="s">
        <v>67</v>
      </c>
      <c r="AB26" s="43">
        <v>4798.18</v>
      </c>
      <c r="AD26" s="28" t="s">
        <v>63</v>
      </c>
      <c r="AE26" s="27"/>
      <c r="AG26" s="15" t="s">
        <v>60</v>
      </c>
      <c r="AH26" s="2">
        <v>825</v>
      </c>
      <c r="AJ26" s="9"/>
    </row>
    <row r="27" spans="1:40" ht="16" thickTop="1" x14ac:dyDescent="0.35">
      <c r="A27" s="46">
        <v>44835</v>
      </c>
      <c r="B27" s="47">
        <v>4256</v>
      </c>
      <c r="C27" s="46">
        <v>44835</v>
      </c>
      <c r="D27" s="47">
        <v>4320</v>
      </c>
      <c r="E27" s="42">
        <f t="shared" si="2"/>
        <v>8576</v>
      </c>
      <c r="F27" s="46">
        <v>44835</v>
      </c>
      <c r="G27" s="47">
        <v>3921.32</v>
      </c>
      <c r="H27" s="48"/>
      <c r="I27" s="42">
        <f t="shared" si="3"/>
        <v>3921.32</v>
      </c>
      <c r="J27" s="47">
        <f t="shared" si="1"/>
        <v>12497.32</v>
      </c>
      <c r="L27" s="56"/>
      <c r="M27" s="57"/>
      <c r="N27" s="56"/>
      <c r="O27" s="57"/>
      <c r="P27" s="121"/>
      <c r="Q27" s="122"/>
      <c r="R27" s="109" t="s">
        <v>148</v>
      </c>
      <c r="S27" s="107">
        <v>272.23</v>
      </c>
      <c r="T27" s="63"/>
      <c r="U27" s="64"/>
      <c r="V27" s="76" t="s">
        <v>140</v>
      </c>
      <c r="W27" s="66">
        <v>0</v>
      </c>
      <c r="X27" s="76" t="s">
        <v>105</v>
      </c>
      <c r="Y27" s="66">
        <v>408.72</v>
      </c>
      <c r="AA27" s="27"/>
      <c r="AB27" s="23">
        <f>SUM(AB2:AB26)</f>
        <v>75685.320000000007</v>
      </c>
      <c r="AD27" s="22" t="s">
        <v>55</v>
      </c>
      <c r="AE27" s="35">
        <f>3400+4967.2+14311</f>
        <v>22678.2</v>
      </c>
      <c r="AG27" s="15" t="s">
        <v>59</v>
      </c>
      <c r="AH27" s="7">
        <v>4950</v>
      </c>
    </row>
    <row r="28" spans="1:40" x14ac:dyDescent="0.35">
      <c r="A28" s="46">
        <v>44866</v>
      </c>
      <c r="B28" s="47">
        <v>4245.6499999999996</v>
      </c>
      <c r="C28" s="46">
        <v>44866</v>
      </c>
      <c r="D28" s="47">
        <v>3588</v>
      </c>
      <c r="E28" s="42">
        <f t="shared" si="2"/>
        <v>7833.65</v>
      </c>
      <c r="F28" s="46">
        <v>44866</v>
      </c>
      <c r="G28" s="47">
        <v>3738.53</v>
      </c>
      <c r="H28" s="48"/>
      <c r="I28" s="42">
        <f t="shared" si="3"/>
        <v>3738.53</v>
      </c>
      <c r="J28" s="47">
        <f t="shared" si="1"/>
        <v>11572.18</v>
      </c>
      <c r="L28" s="56"/>
      <c r="M28" s="57"/>
      <c r="N28" s="56"/>
      <c r="O28" s="57"/>
      <c r="P28" s="121"/>
      <c r="Q28" s="122"/>
      <c r="R28" s="109" t="s">
        <v>153</v>
      </c>
      <c r="S28" s="107">
        <v>1820.48</v>
      </c>
      <c r="T28" s="63"/>
      <c r="U28" s="64"/>
      <c r="V28" s="77" t="s">
        <v>143</v>
      </c>
      <c r="W28" s="66">
        <v>4096.25</v>
      </c>
      <c r="X28" s="70" t="s">
        <v>101</v>
      </c>
      <c r="Y28" s="71">
        <v>2154.34</v>
      </c>
      <c r="AA28" s="32"/>
      <c r="AB28" s="25">
        <f>AB1-AB27</f>
        <v>-4319.320000000007</v>
      </c>
      <c r="AD28" s="24" t="s">
        <v>41</v>
      </c>
      <c r="AE28" s="23">
        <v>4890</v>
      </c>
      <c r="AG28" s="44" t="s">
        <v>128</v>
      </c>
      <c r="AH28" s="45">
        <v>5775</v>
      </c>
    </row>
    <row r="29" spans="1:40" x14ac:dyDescent="0.35">
      <c r="A29" s="46">
        <v>44896</v>
      </c>
      <c r="B29" s="47">
        <v>2561.3000000000002</v>
      </c>
      <c r="C29" s="46">
        <v>44896</v>
      </c>
      <c r="D29" s="47">
        <f>1824+180</f>
        <v>2004</v>
      </c>
      <c r="E29" s="42">
        <f t="shared" si="2"/>
        <v>4565.3</v>
      </c>
      <c r="F29" s="46">
        <v>44896</v>
      </c>
      <c r="G29" s="47">
        <v>3419.72</v>
      </c>
      <c r="H29" s="48"/>
      <c r="I29" s="42">
        <f t="shared" si="3"/>
        <v>3419.72</v>
      </c>
      <c r="J29" s="47">
        <f t="shared" si="1"/>
        <v>7985.02</v>
      </c>
      <c r="L29" s="56"/>
      <c r="M29" s="57"/>
      <c r="N29" s="56"/>
      <c r="O29" s="57"/>
      <c r="P29" s="121"/>
      <c r="Q29" s="122"/>
      <c r="R29" s="109" t="s">
        <v>154</v>
      </c>
      <c r="S29" s="107">
        <v>248.99</v>
      </c>
      <c r="T29" s="63"/>
      <c r="U29" s="64"/>
      <c r="V29" s="77" t="s">
        <v>144</v>
      </c>
      <c r="W29" s="66">
        <v>2357</v>
      </c>
      <c r="X29" s="76" t="s">
        <v>106</v>
      </c>
      <c r="Y29" s="66">
        <v>0</v>
      </c>
      <c r="AA29" s="6"/>
      <c r="AD29" s="24" t="s">
        <v>42</v>
      </c>
      <c r="AE29" s="23">
        <v>2801.3</v>
      </c>
      <c r="AG29" s="113" t="s">
        <v>241</v>
      </c>
      <c r="AH29" s="45">
        <v>18280.900000000001</v>
      </c>
      <c r="AJ29" s="9"/>
    </row>
    <row r="30" spans="1:40" x14ac:dyDescent="0.35">
      <c r="A30" s="46">
        <v>44927</v>
      </c>
      <c r="B30" s="47">
        <v>2992.35</v>
      </c>
      <c r="C30" s="46">
        <v>44927</v>
      </c>
      <c r="D30" s="47">
        <v>2864</v>
      </c>
      <c r="E30" s="42">
        <f t="shared" si="2"/>
        <v>5856.35</v>
      </c>
      <c r="F30" s="46">
        <v>44927</v>
      </c>
      <c r="G30" s="47">
        <v>2975.65</v>
      </c>
      <c r="H30" s="49"/>
      <c r="I30" s="42">
        <f t="shared" si="3"/>
        <v>2975.65</v>
      </c>
      <c r="J30" s="47">
        <f t="shared" si="1"/>
        <v>8832</v>
      </c>
      <c r="L30" s="56"/>
      <c r="M30" s="57"/>
      <c r="N30" s="56"/>
      <c r="O30" s="57"/>
      <c r="P30" s="121"/>
      <c r="Q30" s="122"/>
      <c r="R30" s="109" t="s">
        <v>158</v>
      </c>
      <c r="S30" s="107">
        <v>2136.4699999999998</v>
      </c>
      <c r="T30" s="63"/>
      <c r="U30" s="64"/>
      <c r="V30" s="77" t="s">
        <v>145</v>
      </c>
      <c r="W30" s="66">
        <v>179.51</v>
      </c>
      <c r="X30" s="70" t="s">
        <v>102</v>
      </c>
      <c r="Y30" s="71">
        <v>2423.7800000000002</v>
      </c>
      <c r="AB30" s="2"/>
      <c r="AD30" s="24" t="s">
        <v>44</v>
      </c>
      <c r="AE30" s="23">
        <f>180+3276+120</f>
        <v>3576</v>
      </c>
      <c r="AG30" s="10"/>
    </row>
    <row r="31" spans="1:40" x14ac:dyDescent="0.35">
      <c r="A31" s="46">
        <v>44958</v>
      </c>
      <c r="B31" s="47">
        <v>2130</v>
      </c>
      <c r="C31" s="46">
        <v>44958</v>
      </c>
      <c r="D31" s="47">
        <v>1308</v>
      </c>
      <c r="E31" s="42">
        <f t="shared" si="2"/>
        <v>3438</v>
      </c>
      <c r="F31" s="46">
        <v>44958</v>
      </c>
      <c r="G31" s="47">
        <v>1183.1300000000001</v>
      </c>
      <c r="H31" s="42">
        <f>W6+Y25</f>
        <v>541.66000000000008</v>
      </c>
      <c r="I31" s="42">
        <f t="shared" si="3"/>
        <v>1724.7900000000002</v>
      </c>
      <c r="J31" s="47">
        <f t="shared" si="1"/>
        <v>5162.79</v>
      </c>
      <c r="L31" s="56"/>
      <c r="M31" s="57"/>
      <c r="N31" s="56"/>
      <c r="O31" s="57"/>
      <c r="P31" s="121"/>
      <c r="Q31" s="122"/>
      <c r="R31" s="109" t="s">
        <v>159</v>
      </c>
      <c r="S31" s="107">
        <v>0</v>
      </c>
      <c r="T31" s="63" t="s">
        <v>170</v>
      </c>
      <c r="U31" s="66">
        <v>1980.46</v>
      </c>
      <c r="V31" s="77" t="s">
        <v>149</v>
      </c>
      <c r="W31" s="66">
        <v>4782.5</v>
      </c>
      <c r="X31" s="76" t="s">
        <v>107</v>
      </c>
      <c r="Y31" s="66">
        <v>58.49</v>
      </c>
      <c r="AD31" s="24" t="s">
        <v>45</v>
      </c>
      <c r="AE31" s="23">
        <v>2654.5</v>
      </c>
      <c r="AG31" s="11"/>
      <c r="AH31" s="2"/>
    </row>
    <row r="32" spans="1:40" x14ac:dyDescent="0.35">
      <c r="A32" s="46">
        <v>44986</v>
      </c>
      <c r="B32" s="47">
        <v>1590.3</v>
      </c>
      <c r="C32" s="46">
        <v>44986</v>
      </c>
      <c r="D32" s="47">
        <v>1644</v>
      </c>
      <c r="E32" s="42">
        <f t="shared" si="2"/>
        <v>3234.3</v>
      </c>
      <c r="F32" s="46">
        <v>44986</v>
      </c>
      <c r="G32" s="47">
        <v>2326.15</v>
      </c>
      <c r="H32" s="42">
        <f>W9+Y27</f>
        <v>719.28</v>
      </c>
      <c r="I32" s="42">
        <f t="shared" si="3"/>
        <v>3045.4300000000003</v>
      </c>
      <c r="J32" s="47">
        <f t="shared" si="1"/>
        <v>6279.7300000000005</v>
      </c>
      <c r="L32" s="56"/>
      <c r="M32" s="57"/>
      <c r="N32" s="56"/>
      <c r="O32" s="57"/>
      <c r="P32" s="121"/>
      <c r="Q32" s="122"/>
      <c r="R32" s="109" t="s">
        <v>200</v>
      </c>
      <c r="S32" s="110">
        <v>1826</v>
      </c>
      <c r="T32" s="65" t="s">
        <v>171</v>
      </c>
      <c r="U32" s="66">
        <v>4026</v>
      </c>
      <c r="V32" s="77" t="s">
        <v>150</v>
      </c>
      <c r="W32" s="66">
        <v>1782</v>
      </c>
      <c r="X32" s="70" t="s">
        <v>125</v>
      </c>
      <c r="Y32" s="71">
        <v>2028.54</v>
      </c>
      <c r="AD32" s="24" t="s">
        <v>47</v>
      </c>
      <c r="AE32" s="23">
        <f>3692+180</f>
        <v>3872</v>
      </c>
      <c r="AG32" s="11"/>
    </row>
    <row r="33" spans="1:33" ht="15" thickBot="1" x14ac:dyDescent="0.4">
      <c r="A33" s="46">
        <v>45017</v>
      </c>
      <c r="B33" s="47">
        <v>3349.1</v>
      </c>
      <c r="C33" s="46">
        <v>45017</v>
      </c>
      <c r="D33" s="47">
        <v>2628</v>
      </c>
      <c r="E33" s="42">
        <f t="shared" si="2"/>
        <v>5977.1</v>
      </c>
      <c r="F33" s="46">
        <v>45017</v>
      </c>
      <c r="G33" s="47">
        <v>2154.34</v>
      </c>
      <c r="H33" s="42">
        <f>W12+Y29</f>
        <v>149.16999999999999</v>
      </c>
      <c r="I33" s="42">
        <f t="shared" si="3"/>
        <v>2303.5100000000002</v>
      </c>
      <c r="J33" s="47">
        <f t="shared" si="1"/>
        <v>8280.61</v>
      </c>
      <c r="L33" s="56"/>
      <c r="M33" s="57"/>
      <c r="N33" s="56"/>
      <c r="O33" s="57"/>
      <c r="P33" s="121"/>
      <c r="Q33" s="122"/>
      <c r="R33" s="109" t="s">
        <v>164</v>
      </c>
      <c r="S33" s="107">
        <v>2842.73</v>
      </c>
      <c r="T33" s="65" t="s">
        <v>172</v>
      </c>
      <c r="U33" s="66">
        <v>7417.95</v>
      </c>
      <c r="V33" s="77" t="s">
        <v>148</v>
      </c>
      <c r="W33" s="66">
        <v>210.2</v>
      </c>
      <c r="X33" s="76" t="s">
        <v>124</v>
      </c>
      <c r="Y33" s="66">
        <v>288.76</v>
      </c>
      <c r="AB33" s="2"/>
      <c r="AD33" s="24" t="s">
        <v>48</v>
      </c>
      <c r="AE33" s="31">
        <v>2374.1</v>
      </c>
      <c r="AG33" s="11"/>
    </row>
    <row r="34" spans="1:33" ht="15" thickTop="1" x14ac:dyDescent="0.35">
      <c r="A34" s="46">
        <v>45047</v>
      </c>
      <c r="B34" s="47">
        <v>4829.05</v>
      </c>
      <c r="C34" s="46">
        <v>45047</v>
      </c>
      <c r="D34" s="47">
        <v>1975</v>
      </c>
      <c r="E34" s="42">
        <f t="shared" si="2"/>
        <v>6804.05</v>
      </c>
      <c r="F34" s="46">
        <v>45047</v>
      </c>
      <c r="G34" s="47">
        <v>2423.7800000000002</v>
      </c>
      <c r="H34" s="42">
        <f>W15+Y31</f>
        <v>302.45</v>
      </c>
      <c r="I34" s="42">
        <f t="shared" si="3"/>
        <v>2726.23</v>
      </c>
      <c r="J34" s="47">
        <f t="shared" si="1"/>
        <v>9530.2800000000007</v>
      </c>
      <c r="L34" s="56"/>
      <c r="M34" s="57"/>
      <c r="N34" s="56"/>
      <c r="O34" s="57"/>
      <c r="P34" s="121"/>
      <c r="Q34" s="122"/>
      <c r="R34" s="109" t="s">
        <v>165</v>
      </c>
      <c r="S34" s="107">
        <v>221.79</v>
      </c>
      <c r="T34" s="65" t="s">
        <v>173</v>
      </c>
      <c r="U34" s="66">
        <v>430.13</v>
      </c>
      <c r="V34" s="77" t="s">
        <v>155</v>
      </c>
      <c r="W34" s="66">
        <v>5304.95</v>
      </c>
      <c r="X34" s="81" t="s">
        <v>126</v>
      </c>
      <c r="Y34" s="71">
        <v>5775</v>
      </c>
      <c r="AD34" s="27"/>
      <c r="AE34" s="23">
        <f>SUM(AE28:AE33)</f>
        <v>20167.899999999998</v>
      </c>
    </row>
    <row r="35" spans="1:33" x14ac:dyDescent="0.35">
      <c r="A35" s="46">
        <v>45078</v>
      </c>
      <c r="B35" s="47">
        <v>3878.9</v>
      </c>
      <c r="C35" s="46">
        <v>45078</v>
      </c>
      <c r="D35" s="47">
        <v>1383</v>
      </c>
      <c r="E35" s="42">
        <f t="shared" si="2"/>
        <v>5261.9</v>
      </c>
      <c r="F35" s="46">
        <v>45078</v>
      </c>
      <c r="G35" s="47">
        <v>2028.54</v>
      </c>
      <c r="H35" s="42">
        <f>W18+Y33</f>
        <v>738.25</v>
      </c>
      <c r="I35" s="42">
        <f t="shared" si="3"/>
        <v>2766.79</v>
      </c>
      <c r="J35" s="47">
        <f t="shared" si="1"/>
        <v>8028.69</v>
      </c>
      <c r="L35" s="56"/>
      <c r="M35" s="57"/>
      <c r="N35" s="56"/>
      <c r="O35" s="57"/>
      <c r="P35" s="121"/>
      <c r="Q35" s="122"/>
      <c r="R35" s="109" t="s">
        <v>166</v>
      </c>
      <c r="S35" s="107">
        <v>237.1</v>
      </c>
      <c r="T35" s="67" t="s">
        <v>180</v>
      </c>
      <c r="U35" s="66">
        <v>3020.04</v>
      </c>
      <c r="V35" s="77" t="s">
        <v>156</v>
      </c>
      <c r="W35" s="66">
        <v>1176</v>
      </c>
      <c r="X35" s="76" t="s">
        <v>201</v>
      </c>
      <c r="Y35" s="66">
        <v>6873.45</v>
      </c>
      <c r="AD35" s="27"/>
      <c r="AE35" s="25">
        <v>2345.59</v>
      </c>
      <c r="AF35" s="2" t="s">
        <v>66</v>
      </c>
    </row>
    <row r="36" spans="1:33" ht="15" thickBot="1" x14ac:dyDescent="0.4">
      <c r="A36" s="19">
        <v>45108</v>
      </c>
      <c r="B36" s="2">
        <v>2094.1</v>
      </c>
      <c r="C36" s="19">
        <v>45108</v>
      </c>
      <c r="D36" s="2">
        <v>1475</v>
      </c>
      <c r="E36" s="2">
        <f t="shared" si="2"/>
        <v>3569.1</v>
      </c>
      <c r="F36" s="19">
        <v>45108</v>
      </c>
      <c r="G36" s="2">
        <v>2602.11</v>
      </c>
      <c r="H36" s="2">
        <f>W21+S19</f>
        <v>139.07</v>
      </c>
      <c r="I36" s="2">
        <f t="shared" si="3"/>
        <v>2741.1800000000003</v>
      </c>
      <c r="J36" s="21">
        <f t="shared" si="1"/>
        <v>6310.2800000000007</v>
      </c>
      <c r="L36" s="56"/>
      <c r="M36" s="57"/>
      <c r="N36" s="56"/>
      <c r="O36" s="57"/>
      <c r="P36" s="121"/>
      <c r="Q36" s="122"/>
      <c r="R36" s="109" t="s">
        <v>173</v>
      </c>
      <c r="S36" s="107">
        <v>76.680000000000007</v>
      </c>
      <c r="T36" s="65" t="s">
        <v>174</v>
      </c>
      <c r="U36" s="66">
        <v>2066</v>
      </c>
      <c r="V36" s="77" t="s">
        <v>157</v>
      </c>
      <c r="W36" s="78">
        <v>134.19</v>
      </c>
      <c r="X36" s="63"/>
      <c r="Y36" s="64"/>
      <c r="AD36" s="27"/>
      <c r="AE36" s="36">
        <v>33290.5</v>
      </c>
      <c r="AF36" t="s">
        <v>64</v>
      </c>
    </row>
    <row r="37" spans="1:33" ht="15" thickTop="1" x14ac:dyDescent="0.35">
      <c r="A37" s="19">
        <v>45139</v>
      </c>
      <c r="B37" s="2">
        <v>4930.55</v>
      </c>
      <c r="C37" s="19">
        <v>45139</v>
      </c>
      <c r="D37" s="2">
        <v>1416</v>
      </c>
      <c r="E37" s="2">
        <f t="shared" si="2"/>
        <v>6346.55</v>
      </c>
      <c r="F37" s="19">
        <v>45139</v>
      </c>
      <c r="G37" s="2">
        <v>2679.51</v>
      </c>
      <c r="H37" s="2">
        <f>W24+S21</f>
        <v>556.28</v>
      </c>
      <c r="I37" s="2">
        <f t="shared" si="3"/>
        <v>3235.79</v>
      </c>
      <c r="J37" s="21">
        <f t="shared" si="1"/>
        <v>9582.34</v>
      </c>
      <c r="L37" s="56"/>
      <c r="M37" s="57"/>
      <c r="N37" s="56"/>
      <c r="O37" s="57"/>
      <c r="P37" s="121"/>
      <c r="Q37" s="122"/>
      <c r="R37" s="109" t="s">
        <v>176</v>
      </c>
      <c r="S37" s="107">
        <v>84.04</v>
      </c>
      <c r="T37" s="65" t="s">
        <v>175</v>
      </c>
      <c r="U37" s="66">
        <v>7837.6</v>
      </c>
      <c r="V37" s="77" t="s">
        <v>160</v>
      </c>
      <c r="W37" s="66">
        <v>3837.55</v>
      </c>
      <c r="X37" s="63"/>
      <c r="Y37" s="64"/>
      <c r="AD37" s="27"/>
      <c r="AE37" s="25">
        <f>SUM(AE35:AE36)</f>
        <v>35636.089999999997</v>
      </c>
      <c r="AF37" t="s">
        <v>65</v>
      </c>
    </row>
    <row r="38" spans="1:33" x14ac:dyDescent="0.35">
      <c r="A38" s="19">
        <v>45170</v>
      </c>
      <c r="B38" s="2">
        <v>6244.95</v>
      </c>
      <c r="C38" s="19">
        <v>45170</v>
      </c>
      <c r="D38" s="2">
        <v>2264</v>
      </c>
      <c r="E38" s="2">
        <f t="shared" si="2"/>
        <v>8508.9500000000007</v>
      </c>
      <c r="F38" s="19">
        <v>45170</v>
      </c>
      <c r="G38" s="2">
        <v>3258.22</v>
      </c>
      <c r="H38" s="2">
        <f>W27+S23</f>
        <v>0</v>
      </c>
      <c r="I38" s="2">
        <f t="shared" si="3"/>
        <v>3258.22</v>
      </c>
      <c r="J38" s="21">
        <f t="shared" si="1"/>
        <v>11767.17</v>
      </c>
      <c r="L38" s="56"/>
      <c r="M38" s="57"/>
      <c r="N38" s="56"/>
      <c r="O38" s="57"/>
      <c r="P38" s="121"/>
      <c r="Q38" s="122"/>
      <c r="R38" s="106" t="s">
        <v>177</v>
      </c>
      <c r="S38" s="107">
        <v>2171.27</v>
      </c>
      <c r="T38" s="65" t="s">
        <v>176</v>
      </c>
      <c r="U38" s="66">
        <v>230.2</v>
      </c>
      <c r="V38" s="77" t="s">
        <v>161</v>
      </c>
      <c r="W38" s="66">
        <v>0</v>
      </c>
      <c r="X38" s="63"/>
      <c r="Y38" s="64"/>
      <c r="AD38" s="27"/>
      <c r="AE38" s="25"/>
    </row>
    <row r="39" spans="1:33" x14ac:dyDescent="0.35">
      <c r="A39" s="19">
        <v>45200</v>
      </c>
      <c r="B39" s="2">
        <v>4096.25</v>
      </c>
      <c r="C39" s="19">
        <v>45200</v>
      </c>
      <c r="D39" s="41">
        <v>2357</v>
      </c>
      <c r="E39" s="2">
        <f t="shared" si="2"/>
        <v>6453.25</v>
      </c>
      <c r="F39" s="19">
        <v>45200</v>
      </c>
      <c r="G39" s="2">
        <v>3132.95</v>
      </c>
      <c r="H39" s="2">
        <f>W30+S25</f>
        <v>710.76</v>
      </c>
      <c r="I39" s="2">
        <f t="shared" si="3"/>
        <v>3843.71</v>
      </c>
      <c r="J39" s="21">
        <f t="shared" si="1"/>
        <v>10296.959999999999</v>
      </c>
      <c r="L39" s="56"/>
      <c r="M39" s="57"/>
      <c r="N39" s="56"/>
      <c r="O39" s="57"/>
      <c r="P39" s="121"/>
      <c r="Q39" s="122"/>
      <c r="R39" s="106" t="s">
        <v>178</v>
      </c>
      <c r="S39" s="107">
        <v>5457.1</v>
      </c>
      <c r="T39" s="67" t="s">
        <v>181</v>
      </c>
      <c r="U39" s="66">
        <v>3545.89</v>
      </c>
      <c r="V39" s="77" t="s">
        <v>159</v>
      </c>
      <c r="W39" s="66">
        <v>221.78</v>
      </c>
      <c r="X39" s="63"/>
      <c r="Y39" s="64"/>
      <c r="AD39" s="27"/>
      <c r="AE39" s="25"/>
    </row>
    <row r="40" spans="1:33" x14ac:dyDescent="0.35">
      <c r="A40" s="19">
        <v>45231</v>
      </c>
      <c r="B40" s="2">
        <v>4782.5</v>
      </c>
      <c r="C40" s="19">
        <v>45231</v>
      </c>
      <c r="D40" s="2">
        <v>1782</v>
      </c>
      <c r="E40" s="2">
        <f t="shared" si="2"/>
        <v>6564.5</v>
      </c>
      <c r="F40" s="19">
        <v>45231</v>
      </c>
      <c r="G40" s="2">
        <v>2574.0300000000002</v>
      </c>
      <c r="H40" s="2">
        <f>W33+S27</f>
        <v>482.43</v>
      </c>
      <c r="I40" s="2">
        <f t="shared" si="3"/>
        <v>3056.46</v>
      </c>
      <c r="J40" s="21">
        <f t="shared" si="1"/>
        <v>9620.9599999999991</v>
      </c>
      <c r="L40" s="56"/>
      <c r="M40" s="57"/>
      <c r="N40" s="56"/>
      <c r="O40" s="57"/>
      <c r="P40" s="121"/>
      <c r="Q40" s="122"/>
      <c r="R40" s="109" t="s">
        <v>183</v>
      </c>
      <c r="S40" s="107">
        <v>3660.8</v>
      </c>
      <c r="T40" s="65" t="s">
        <v>177</v>
      </c>
      <c r="U40" s="66">
        <v>695.73</v>
      </c>
      <c r="V40" s="77" t="s">
        <v>167</v>
      </c>
      <c r="W40" s="66">
        <v>3744.35</v>
      </c>
      <c r="X40" s="63"/>
      <c r="Y40" s="64"/>
      <c r="AD40" s="27"/>
      <c r="AE40" s="25"/>
    </row>
    <row r="41" spans="1:33" x14ac:dyDescent="0.35">
      <c r="A41" s="19">
        <v>45261</v>
      </c>
      <c r="B41" s="2">
        <v>5304.95</v>
      </c>
      <c r="C41" s="19">
        <v>45261</v>
      </c>
      <c r="D41" s="2">
        <v>1176</v>
      </c>
      <c r="E41" s="2">
        <f t="shared" si="2"/>
        <v>6480.95</v>
      </c>
      <c r="F41" s="19">
        <v>45261</v>
      </c>
      <c r="G41" s="2">
        <v>1820.48</v>
      </c>
      <c r="H41" s="2">
        <f>W36+S29</f>
        <v>383.18</v>
      </c>
      <c r="I41" s="2">
        <f t="shared" si="3"/>
        <v>2203.66</v>
      </c>
      <c r="J41" s="21">
        <f t="shared" si="1"/>
        <v>8684.61</v>
      </c>
      <c r="L41" s="56"/>
      <c r="M41" s="57"/>
      <c r="N41" s="56"/>
      <c r="O41" s="57"/>
      <c r="P41" s="121"/>
      <c r="Q41" s="122"/>
      <c r="R41" s="109" t="s">
        <v>179</v>
      </c>
      <c r="S41" s="107">
        <v>370.47</v>
      </c>
      <c r="T41" s="65"/>
      <c r="U41" s="66"/>
      <c r="V41" s="77" t="s">
        <v>168</v>
      </c>
      <c r="W41" s="66">
        <v>191.54</v>
      </c>
      <c r="X41" s="63"/>
      <c r="Y41" s="64"/>
      <c r="AD41" s="27"/>
      <c r="AE41" s="25"/>
    </row>
    <row r="42" spans="1:33" x14ac:dyDescent="0.35">
      <c r="A42" s="19">
        <v>45292</v>
      </c>
      <c r="B42" s="2">
        <v>3837.55</v>
      </c>
      <c r="C42" s="19">
        <v>45292</v>
      </c>
      <c r="D42" s="41">
        <v>2096</v>
      </c>
      <c r="E42" s="2">
        <f t="shared" ref="E42" si="4">B42+D42</f>
        <v>5933.55</v>
      </c>
      <c r="F42" s="19">
        <v>45292</v>
      </c>
      <c r="G42" s="2">
        <v>2136.4699999999998</v>
      </c>
      <c r="H42" s="2">
        <f>S31+W39</f>
        <v>221.78</v>
      </c>
      <c r="I42" s="2">
        <f t="shared" ref="I42" si="5">G42+H42</f>
        <v>2358.25</v>
      </c>
      <c r="J42" s="21">
        <f t="shared" ref="J42" si="6">E42+I42</f>
        <v>8291.7999999999993</v>
      </c>
      <c r="L42" s="56"/>
      <c r="M42" s="57"/>
      <c r="N42" s="56"/>
      <c r="O42" s="57"/>
      <c r="P42" s="121"/>
      <c r="Q42" s="122"/>
      <c r="R42" s="109" t="s">
        <v>184</v>
      </c>
      <c r="S42" s="107">
        <v>3864</v>
      </c>
      <c r="T42" s="65"/>
      <c r="U42" s="66"/>
      <c r="V42" s="77" t="s">
        <v>165</v>
      </c>
      <c r="W42" s="66">
        <v>0</v>
      </c>
      <c r="X42" s="63"/>
      <c r="Y42" s="64"/>
      <c r="AD42" s="27"/>
      <c r="AE42" s="25"/>
    </row>
    <row r="43" spans="1:33" ht="29" x14ac:dyDescent="0.35">
      <c r="A43" s="19">
        <v>45323</v>
      </c>
      <c r="B43" s="2">
        <f>W40+S35</f>
        <v>3981.45</v>
      </c>
      <c r="C43" s="19">
        <v>45323</v>
      </c>
      <c r="D43" s="41">
        <f>W41+U31</f>
        <v>2172</v>
      </c>
      <c r="E43" s="2">
        <f t="shared" si="2"/>
        <v>6153.45</v>
      </c>
      <c r="F43" s="19">
        <v>45323</v>
      </c>
      <c r="G43" s="2">
        <f>S33</f>
        <v>2842.73</v>
      </c>
      <c r="H43" s="2">
        <f>S34+W42</f>
        <v>221.79</v>
      </c>
      <c r="I43" s="2">
        <f t="shared" ref="I43:I51" si="7">G43+H43</f>
        <v>3064.52</v>
      </c>
      <c r="J43" s="21">
        <f t="shared" ref="J43:J51" si="8">E43+I43</f>
        <v>9217.9699999999993</v>
      </c>
      <c r="L43" s="56"/>
      <c r="M43" s="57"/>
      <c r="N43" s="56"/>
      <c r="O43" s="57"/>
      <c r="P43" s="121"/>
      <c r="Q43" s="122"/>
      <c r="R43" s="109" t="s">
        <v>185</v>
      </c>
      <c r="S43" s="107">
        <v>5564.95</v>
      </c>
      <c r="T43" s="65"/>
      <c r="U43" s="66"/>
      <c r="V43" s="79" t="s">
        <v>169</v>
      </c>
      <c r="W43" s="66">
        <v>5775</v>
      </c>
      <c r="X43" s="63"/>
      <c r="Y43" s="64"/>
      <c r="AD43" s="27"/>
      <c r="AE43" s="25"/>
    </row>
    <row r="44" spans="1:33" x14ac:dyDescent="0.35">
      <c r="A44" s="19">
        <v>45352</v>
      </c>
      <c r="B44" s="2">
        <f>U33</f>
        <v>7417.95</v>
      </c>
      <c r="C44" s="19">
        <v>45352</v>
      </c>
      <c r="D44" s="41">
        <f>U32</f>
        <v>4026</v>
      </c>
      <c r="E44" s="2">
        <f t="shared" si="2"/>
        <v>11443.95</v>
      </c>
      <c r="F44" s="19">
        <v>45352</v>
      </c>
      <c r="G44" s="2">
        <f>U35</f>
        <v>3020.04</v>
      </c>
      <c r="H44" s="2">
        <f>S36+U34</f>
        <v>506.81</v>
      </c>
      <c r="I44" s="2">
        <f t="shared" si="7"/>
        <v>3526.85</v>
      </c>
      <c r="J44" s="21">
        <f t="shared" si="8"/>
        <v>14970.800000000001</v>
      </c>
      <c r="L44" s="56"/>
      <c r="M44" s="57"/>
      <c r="N44" s="56"/>
      <c r="O44" s="57"/>
      <c r="P44" s="121"/>
      <c r="Q44" s="122"/>
      <c r="R44" s="109" t="s">
        <v>186</v>
      </c>
      <c r="S44" s="107">
        <v>4792.34</v>
      </c>
      <c r="T44" s="65"/>
      <c r="U44" s="66"/>
      <c r="V44" s="79"/>
      <c r="W44" s="66"/>
      <c r="X44" s="63"/>
      <c r="Y44" s="64"/>
      <c r="AD44" s="27"/>
      <c r="AE44" s="25"/>
    </row>
    <row r="45" spans="1:33" x14ac:dyDescent="0.35">
      <c r="A45" s="19">
        <v>45383</v>
      </c>
      <c r="B45" s="2">
        <v>7837.6</v>
      </c>
      <c r="C45" s="19">
        <v>45383</v>
      </c>
      <c r="D45" s="2">
        <v>2066</v>
      </c>
      <c r="E45" s="2">
        <f t="shared" si="2"/>
        <v>9903.6</v>
      </c>
      <c r="F45" s="19">
        <v>45383</v>
      </c>
      <c r="G45" s="2">
        <v>3545.89</v>
      </c>
      <c r="H45" s="41">
        <v>314.24</v>
      </c>
      <c r="I45" s="2">
        <f t="shared" si="7"/>
        <v>3860.13</v>
      </c>
      <c r="J45" s="21">
        <f t="shared" si="8"/>
        <v>13763.73</v>
      </c>
      <c r="L45" s="56"/>
      <c r="M45" s="57"/>
      <c r="N45" s="56"/>
      <c r="O45" s="57"/>
      <c r="P45" s="121"/>
      <c r="Q45" s="122"/>
      <c r="R45" s="109" t="s">
        <v>187</v>
      </c>
      <c r="S45" s="107">
        <v>162.30000000000001</v>
      </c>
      <c r="T45" s="63"/>
      <c r="U45" s="64"/>
      <c r="V45" s="79"/>
      <c r="W45" s="66"/>
      <c r="X45" s="63"/>
      <c r="Y45" s="64"/>
      <c r="AD45" s="27"/>
      <c r="AE45" s="25"/>
    </row>
    <row r="46" spans="1:33" x14ac:dyDescent="0.35">
      <c r="A46" s="19">
        <v>45413</v>
      </c>
      <c r="B46" s="2">
        <f>S39</f>
        <v>5457.1</v>
      </c>
      <c r="C46" s="19">
        <v>45413</v>
      </c>
      <c r="D46" s="41">
        <f>U40+S38</f>
        <v>2867</v>
      </c>
      <c r="E46" s="2">
        <f t="shared" ref="E46:E65" si="9">B46+D46</f>
        <v>8324.1</v>
      </c>
      <c r="F46" s="19">
        <v>45413</v>
      </c>
      <c r="G46" s="2">
        <f>S40</f>
        <v>3660.8</v>
      </c>
      <c r="H46" s="2">
        <f>S41</f>
        <v>370.47</v>
      </c>
      <c r="I46" s="2">
        <f t="shared" si="7"/>
        <v>4031.2700000000004</v>
      </c>
      <c r="J46" s="21">
        <f t="shared" si="8"/>
        <v>12355.37</v>
      </c>
      <c r="L46" s="56"/>
      <c r="M46" s="57"/>
      <c r="N46" s="56"/>
      <c r="O46" s="57"/>
      <c r="P46" s="121"/>
      <c r="Q46" s="122"/>
      <c r="R46" s="109" t="s">
        <v>188</v>
      </c>
      <c r="S46" s="108">
        <v>3122</v>
      </c>
      <c r="T46" s="68"/>
      <c r="U46" s="69"/>
      <c r="V46" s="63"/>
      <c r="W46" s="64"/>
      <c r="X46" s="63"/>
      <c r="Y46" s="64"/>
      <c r="AD46" s="27"/>
      <c r="AE46" s="25"/>
    </row>
    <row r="47" spans="1:33" x14ac:dyDescent="0.35">
      <c r="A47" s="19">
        <v>45444</v>
      </c>
      <c r="B47" s="2">
        <f>S43</f>
        <v>5564.95</v>
      </c>
      <c r="C47" s="19">
        <v>45444</v>
      </c>
      <c r="D47" s="41">
        <f>S42</f>
        <v>3864</v>
      </c>
      <c r="E47" s="2">
        <f t="shared" si="9"/>
        <v>9428.9500000000007</v>
      </c>
      <c r="F47" s="19">
        <v>45444</v>
      </c>
      <c r="G47" s="2">
        <f>S44</f>
        <v>4792.34</v>
      </c>
      <c r="H47" s="2">
        <f>S45</f>
        <v>162.30000000000001</v>
      </c>
      <c r="I47" s="2">
        <f t="shared" si="7"/>
        <v>4954.6400000000003</v>
      </c>
      <c r="J47" s="21">
        <f t="shared" si="8"/>
        <v>14383.59</v>
      </c>
      <c r="L47" s="56"/>
      <c r="M47" s="57"/>
      <c r="N47" s="56"/>
      <c r="O47" s="57"/>
      <c r="P47" s="121"/>
      <c r="Q47" s="122"/>
      <c r="R47" s="109" t="s">
        <v>189</v>
      </c>
      <c r="S47" s="107">
        <v>8669.9</v>
      </c>
      <c r="T47" s="68"/>
      <c r="U47" s="69"/>
      <c r="V47" s="63"/>
      <c r="W47" s="64"/>
      <c r="X47" s="63"/>
      <c r="Y47" s="64"/>
      <c r="AD47" s="27"/>
      <c r="AE47" s="25"/>
    </row>
    <row r="48" spans="1:33" x14ac:dyDescent="0.35">
      <c r="A48" s="19">
        <v>45474</v>
      </c>
      <c r="B48" s="2">
        <f>S47</f>
        <v>8669.9</v>
      </c>
      <c r="C48" s="19">
        <v>45474</v>
      </c>
      <c r="D48" s="2">
        <f>S46</f>
        <v>3122</v>
      </c>
      <c r="E48" s="2">
        <f t="shared" si="9"/>
        <v>11791.9</v>
      </c>
      <c r="F48" s="19">
        <v>45474</v>
      </c>
      <c r="G48" s="2">
        <f>S48</f>
        <v>3323.87</v>
      </c>
      <c r="H48" s="2">
        <f>S49</f>
        <v>194.77</v>
      </c>
      <c r="I48" s="2">
        <f t="shared" si="7"/>
        <v>3518.64</v>
      </c>
      <c r="J48" s="21">
        <f t="shared" si="8"/>
        <v>15310.539999999999</v>
      </c>
      <c r="L48" s="56"/>
      <c r="M48" s="57"/>
      <c r="N48" s="56"/>
      <c r="O48" s="57"/>
      <c r="P48" s="121"/>
      <c r="Q48" s="122"/>
      <c r="R48" s="109" t="s">
        <v>190</v>
      </c>
      <c r="S48" s="107">
        <v>3323.87</v>
      </c>
      <c r="T48" s="68"/>
      <c r="U48" s="69"/>
      <c r="V48" s="63"/>
      <c r="W48" s="64"/>
      <c r="X48" s="63"/>
      <c r="Y48" s="64"/>
      <c r="AD48" s="27"/>
      <c r="AE48" s="25"/>
    </row>
    <row r="49" spans="1:31" x14ac:dyDescent="0.35">
      <c r="A49" s="19">
        <v>45505</v>
      </c>
      <c r="B49" s="2">
        <f>S51</f>
        <v>5946.85</v>
      </c>
      <c r="C49" s="19">
        <v>45505</v>
      </c>
      <c r="D49" s="41">
        <f>S50</f>
        <v>3641</v>
      </c>
      <c r="E49" s="2">
        <f t="shared" si="9"/>
        <v>9587.85</v>
      </c>
      <c r="F49" s="19">
        <v>45505</v>
      </c>
      <c r="G49" s="2">
        <f>S52</f>
        <v>3674.45</v>
      </c>
      <c r="H49" s="2">
        <f>S53</f>
        <v>0</v>
      </c>
      <c r="I49" s="2">
        <f t="shared" si="7"/>
        <v>3674.45</v>
      </c>
      <c r="J49" s="21">
        <f t="shared" si="8"/>
        <v>13262.3</v>
      </c>
      <c r="L49" s="56"/>
      <c r="M49" s="57"/>
      <c r="N49" s="56"/>
      <c r="O49" s="57"/>
      <c r="P49" s="121"/>
      <c r="Q49" s="122"/>
      <c r="R49" s="109" t="s">
        <v>191</v>
      </c>
      <c r="S49" s="105">
        <v>194.77</v>
      </c>
      <c r="T49" s="68"/>
      <c r="U49" s="69"/>
      <c r="V49" s="63"/>
      <c r="W49" s="64"/>
      <c r="X49" s="63"/>
      <c r="Y49" s="64"/>
      <c r="AD49" s="27"/>
      <c r="AE49" s="25"/>
    </row>
    <row r="50" spans="1:31" x14ac:dyDescent="0.35">
      <c r="A50" s="19">
        <v>45536</v>
      </c>
      <c r="B50" s="2">
        <f>Y35</f>
        <v>6873.45</v>
      </c>
      <c r="C50" s="19">
        <v>45536</v>
      </c>
      <c r="D50" s="41">
        <f>S54</f>
        <v>2370</v>
      </c>
      <c r="E50" s="2">
        <f t="shared" si="9"/>
        <v>9243.4500000000007</v>
      </c>
      <c r="F50" s="19">
        <v>45536</v>
      </c>
      <c r="G50" s="2">
        <f>S55</f>
        <v>3214.92</v>
      </c>
      <c r="H50" s="2">
        <f>S56</f>
        <v>0</v>
      </c>
      <c r="I50" s="2">
        <f t="shared" si="7"/>
        <v>3214.92</v>
      </c>
      <c r="J50" s="21">
        <f t="shared" si="8"/>
        <v>12458.37</v>
      </c>
      <c r="L50" s="56"/>
      <c r="M50" s="57"/>
      <c r="N50" s="56"/>
      <c r="O50" s="57"/>
      <c r="P50" s="121"/>
      <c r="Q50" s="122"/>
      <c r="R50" s="109" t="s">
        <v>193</v>
      </c>
      <c r="S50" s="107">
        <v>3641</v>
      </c>
      <c r="T50" s="68"/>
      <c r="U50" s="69"/>
      <c r="V50" s="63"/>
      <c r="W50" s="64"/>
      <c r="X50" s="63"/>
      <c r="Y50" s="64"/>
      <c r="AD50" s="27"/>
      <c r="AE50" s="25"/>
    </row>
    <row r="51" spans="1:31" x14ac:dyDescent="0.35">
      <c r="A51" s="19">
        <v>45566</v>
      </c>
      <c r="B51" s="2">
        <v>6083.85</v>
      </c>
      <c r="C51" s="19">
        <v>45566</v>
      </c>
      <c r="D51" s="41">
        <v>3088</v>
      </c>
      <c r="E51" s="2">
        <f t="shared" si="9"/>
        <v>9171.85</v>
      </c>
      <c r="F51" s="19">
        <v>45566</v>
      </c>
      <c r="G51" s="2">
        <v>3322.21</v>
      </c>
      <c r="H51" s="2">
        <v>0</v>
      </c>
      <c r="I51" s="2">
        <f t="shared" si="7"/>
        <v>3322.21</v>
      </c>
      <c r="J51" s="21">
        <f t="shared" si="8"/>
        <v>12494.060000000001</v>
      </c>
      <c r="L51" s="56"/>
      <c r="M51" s="57"/>
      <c r="N51" s="56"/>
      <c r="O51" s="57"/>
      <c r="P51" s="121"/>
      <c r="Q51" s="122"/>
      <c r="R51" s="109" t="s">
        <v>194</v>
      </c>
      <c r="S51" s="107">
        <v>5946.85</v>
      </c>
      <c r="T51" s="68"/>
      <c r="U51" s="69"/>
      <c r="V51" s="63"/>
      <c r="W51" s="64"/>
      <c r="X51" s="63"/>
      <c r="Y51" s="64"/>
      <c r="AD51" s="27"/>
      <c r="AE51" s="25"/>
    </row>
    <row r="52" spans="1:31" x14ac:dyDescent="0.35">
      <c r="A52" s="19">
        <v>45597</v>
      </c>
      <c r="B52" s="2">
        <f>S62</f>
        <v>5889.9</v>
      </c>
      <c r="C52" s="19">
        <v>45597</v>
      </c>
      <c r="D52" s="41">
        <f>S61</f>
        <v>2126</v>
      </c>
      <c r="E52" s="2">
        <f t="shared" si="9"/>
        <v>8015.9</v>
      </c>
      <c r="F52" s="19">
        <v>45597</v>
      </c>
      <c r="G52" s="2">
        <f>S63</f>
        <v>1981.58</v>
      </c>
      <c r="H52" s="2">
        <f>S64</f>
        <v>149.91999999999999</v>
      </c>
      <c r="I52" s="2">
        <f t="shared" ref="I52:I54" si="10">G52+H52</f>
        <v>2131.5</v>
      </c>
      <c r="J52" s="21">
        <f t="shared" ref="J52:J54" si="11">E52+I52</f>
        <v>10147.4</v>
      </c>
      <c r="L52" s="56"/>
      <c r="M52" s="57"/>
      <c r="N52" s="56"/>
      <c r="O52" s="57"/>
      <c r="P52" s="121"/>
      <c r="Q52" s="122"/>
      <c r="R52" s="109" t="s">
        <v>195</v>
      </c>
      <c r="S52" s="107">
        <v>3674.45</v>
      </c>
      <c r="T52" s="68"/>
      <c r="U52" s="69"/>
      <c r="V52" s="63"/>
      <c r="W52" s="64"/>
      <c r="X52" s="63"/>
      <c r="Y52" s="64"/>
      <c r="AD52" s="27"/>
      <c r="AE52" s="25"/>
    </row>
    <row r="53" spans="1:31" x14ac:dyDescent="0.35">
      <c r="A53" s="19">
        <v>45627</v>
      </c>
      <c r="B53" s="2">
        <f>S66</f>
        <v>5022.8500000000004</v>
      </c>
      <c r="C53" s="19">
        <v>45627</v>
      </c>
      <c r="D53" s="2">
        <f>S65</f>
        <v>2292</v>
      </c>
      <c r="E53" s="2">
        <f t="shared" si="9"/>
        <v>7314.85</v>
      </c>
      <c r="F53" s="19">
        <v>45627</v>
      </c>
      <c r="G53" s="2">
        <f>S67</f>
        <v>1997.2</v>
      </c>
      <c r="H53" s="2">
        <f>S68</f>
        <v>0</v>
      </c>
      <c r="I53" s="2">
        <f t="shared" si="10"/>
        <v>1997.2</v>
      </c>
      <c r="J53" s="21">
        <f t="shared" si="11"/>
        <v>9312.0500000000011</v>
      </c>
      <c r="L53" s="56"/>
      <c r="M53" s="57"/>
      <c r="N53" s="56"/>
      <c r="O53" s="57"/>
      <c r="P53" s="121"/>
      <c r="Q53" s="122"/>
      <c r="R53" s="109" t="s">
        <v>196</v>
      </c>
      <c r="S53" s="105">
        <v>0</v>
      </c>
      <c r="T53" s="68"/>
      <c r="U53" s="69"/>
      <c r="V53" s="63"/>
      <c r="W53" s="64"/>
      <c r="X53" s="63"/>
      <c r="Y53" s="64"/>
      <c r="AD53" s="27"/>
      <c r="AE53" s="25"/>
    </row>
    <row r="54" spans="1:31" x14ac:dyDescent="0.35">
      <c r="A54" s="46">
        <v>45658</v>
      </c>
      <c r="B54" s="42">
        <f>S70</f>
        <v>5574.75</v>
      </c>
      <c r="C54" s="46">
        <v>45658</v>
      </c>
      <c r="D54" s="47">
        <f>S69</f>
        <v>1422</v>
      </c>
      <c r="E54" s="42">
        <f t="shared" si="9"/>
        <v>6996.75</v>
      </c>
      <c r="F54" s="46">
        <v>45658</v>
      </c>
      <c r="G54" s="47">
        <f>S71</f>
        <v>2124.29</v>
      </c>
      <c r="H54" s="42">
        <f>S72</f>
        <v>0</v>
      </c>
      <c r="I54" s="42">
        <f t="shared" si="10"/>
        <v>2124.29</v>
      </c>
      <c r="J54" s="47">
        <f t="shared" si="11"/>
        <v>9121.0400000000009</v>
      </c>
      <c r="L54" s="56"/>
      <c r="M54" s="57"/>
      <c r="N54" s="56"/>
      <c r="O54" s="57"/>
      <c r="P54" s="121"/>
      <c r="Q54" s="122"/>
      <c r="R54" s="109" t="s">
        <v>197</v>
      </c>
      <c r="S54" s="107">
        <v>2370</v>
      </c>
      <c r="T54" s="68"/>
      <c r="U54" s="69"/>
      <c r="V54" s="63"/>
      <c r="W54" s="64"/>
      <c r="X54" s="63"/>
      <c r="Y54" s="64"/>
      <c r="AD54" s="27"/>
      <c r="AE54" s="25"/>
    </row>
    <row r="55" spans="1:31" x14ac:dyDescent="0.35">
      <c r="A55" s="46">
        <v>45689</v>
      </c>
      <c r="B55" s="42">
        <f>S74</f>
        <v>3899.85</v>
      </c>
      <c r="C55" s="46">
        <v>45689</v>
      </c>
      <c r="D55" s="47">
        <f>S73</f>
        <v>1164</v>
      </c>
      <c r="E55" s="42">
        <f t="shared" si="9"/>
        <v>5063.8500000000004</v>
      </c>
      <c r="F55" s="46">
        <v>45689</v>
      </c>
      <c r="G55" s="47">
        <f>S75</f>
        <v>576.05999999999995</v>
      </c>
      <c r="H55" s="42">
        <f>S73</f>
        <v>1164</v>
      </c>
      <c r="I55" s="42">
        <f t="shared" ref="I55:I57" si="12">G55+H55</f>
        <v>1740.06</v>
      </c>
      <c r="J55" s="47">
        <f t="shared" ref="J55:J57" si="13">E55+I55</f>
        <v>6803.91</v>
      </c>
      <c r="L55" s="56"/>
      <c r="M55" s="57"/>
      <c r="N55" s="56"/>
      <c r="O55" s="57"/>
      <c r="P55" s="121"/>
      <c r="Q55" s="122"/>
      <c r="R55" s="109" t="s">
        <v>198</v>
      </c>
      <c r="S55" s="107">
        <v>3214.92</v>
      </c>
      <c r="T55" s="68"/>
      <c r="U55" s="69"/>
      <c r="V55" s="63"/>
      <c r="W55" s="64"/>
      <c r="X55" s="63"/>
      <c r="Y55" s="64"/>
    </row>
    <row r="56" spans="1:31" x14ac:dyDescent="0.35">
      <c r="A56" s="46">
        <v>45717</v>
      </c>
      <c r="B56" s="42">
        <v>5596.45</v>
      </c>
      <c r="C56" s="46">
        <v>45717</v>
      </c>
      <c r="D56" s="47">
        <v>2220</v>
      </c>
      <c r="E56" s="42">
        <f t="shared" si="9"/>
        <v>7816.45</v>
      </c>
      <c r="F56" s="46">
        <v>45717</v>
      </c>
      <c r="G56" s="47">
        <v>3153.77</v>
      </c>
      <c r="H56" s="42">
        <v>0</v>
      </c>
      <c r="I56" s="42">
        <f t="shared" si="12"/>
        <v>3153.77</v>
      </c>
      <c r="J56" s="47">
        <f t="shared" si="13"/>
        <v>10970.22</v>
      </c>
      <c r="L56" s="56"/>
      <c r="M56" s="57"/>
      <c r="N56" s="56"/>
      <c r="O56" s="57"/>
      <c r="P56" s="121"/>
      <c r="Q56" s="122"/>
      <c r="R56" s="109" t="s">
        <v>199</v>
      </c>
      <c r="S56" s="107">
        <v>0</v>
      </c>
      <c r="T56" s="68"/>
      <c r="U56" s="69"/>
      <c r="V56" s="63"/>
      <c r="W56" s="64"/>
      <c r="X56" s="63"/>
      <c r="Y56" s="64"/>
    </row>
    <row r="57" spans="1:31" x14ac:dyDescent="0.35">
      <c r="A57" s="46">
        <v>45748</v>
      </c>
      <c r="B57" s="42">
        <v>4789.1000000000004</v>
      </c>
      <c r="C57" s="46">
        <v>45748</v>
      </c>
      <c r="D57" s="96">
        <v>1044</v>
      </c>
      <c r="E57" s="42">
        <f t="shared" si="9"/>
        <v>5833.1</v>
      </c>
      <c r="F57" s="46">
        <v>45748</v>
      </c>
      <c r="G57" s="42">
        <v>3618.39</v>
      </c>
      <c r="H57" s="42">
        <v>0</v>
      </c>
      <c r="I57" s="42">
        <f t="shared" si="12"/>
        <v>3618.39</v>
      </c>
      <c r="J57" s="47">
        <f t="shared" si="13"/>
        <v>9451.49</v>
      </c>
      <c r="L57" s="56"/>
      <c r="M57" s="57"/>
      <c r="N57" s="56"/>
      <c r="O57" s="57"/>
      <c r="P57" s="121"/>
      <c r="Q57" s="122"/>
      <c r="R57" s="109" t="s">
        <v>202</v>
      </c>
      <c r="S57" s="107">
        <v>3088</v>
      </c>
      <c r="T57" s="68"/>
      <c r="U57" s="69"/>
      <c r="V57" s="63"/>
      <c r="W57" s="64"/>
      <c r="X57" s="63"/>
      <c r="Y57" s="64"/>
    </row>
    <row r="58" spans="1:31" x14ac:dyDescent="0.35">
      <c r="A58" s="46">
        <v>45778</v>
      </c>
      <c r="B58" s="42">
        <f>O81</f>
        <v>2369.4</v>
      </c>
      <c r="C58" s="46">
        <v>45778</v>
      </c>
      <c r="D58" s="96">
        <f>O79</f>
        <v>2292</v>
      </c>
      <c r="E58" s="42">
        <f t="shared" si="9"/>
        <v>4661.3999999999996</v>
      </c>
      <c r="F58" s="46">
        <v>45778</v>
      </c>
      <c r="G58" s="42">
        <f>O80</f>
        <v>4500.05</v>
      </c>
      <c r="H58" s="42">
        <v>0</v>
      </c>
      <c r="I58" s="42">
        <f t="shared" ref="I58:I60" si="14">G58+H58</f>
        <v>4500.05</v>
      </c>
      <c r="J58" s="47">
        <f t="shared" ref="J58:J62" si="15">E58+I58</f>
        <v>9161.4500000000007</v>
      </c>
      <c r="L58" s="56"/>
      <c r="M58" s="57"/>
      <c r="N58" s="56"/>
      <c r="O58" s="57"/>
      <c r="P58" s="121"/>
      <c r="Q58" s="122"/>
      <c r="R58" s="109" t="s">
        <v>203</v>
      </c>
      <c r="S58" s="107">
        <v>6083.85</v>
      </c>
      <c r="T58" s="68"/>
      <c r="U58" s="69"/>
      <c r="V58" s="63"/>
      <c r="W58" s="64"/>
      <c r="X58" s="63"/>
      <c r="Y58" s="64"/>
    </row>
    <row r="59" spans="1:31" x14ac:dyDescent="0.35">
      <c r="A59" s="46">
        <v>45809</v>
      </c>
      <c r="B59" s="42">
        <f>O84</f>
        <v>3951</v>
      </c>
      <c r="C59" s="46">
        <v>45809</v>
      </c>
      <c r="D59" s="42">
        <f>O82</f>
        <v>1686</v>
      </c>
      <c r="E59" s="42">
        <f t="shared" si="9"/>
        <v>5637</v>
      </c>
      <c r="F59" s="46">
        <v>45809</v>
      </c>
      <c r="G59" s="42">
        <f>O83</f>
        <v>3791.32</v>
      </c>
      <c r="H59" s="42">
        <v>0</v>
      </c>
      <c r="I59" s="42">
        <f t="shared" si="14"/>
        <v>3791.32</v>
      </c>
      <c r="J59" s="47">
        <f t="shared" si="15"/>
        <v>9428.32</v>
      </c>
      <c r="L59" s="56"/>
      <c r="M59" s="57"/>
      <c r="N59" s="56"/>
      <c r="O59" s="57"/>
      <c r="P59" s="121"/>
      <c r="Q59" s="122"/>
      <c r="R59" s="109" t="s">
        <v>204</v>
      </c>
      <c r="S59" s="108">
        <v>3322.21</v>
      </c>
      <c r="T59" s="68"/>
      <c r="U59" s="69"/>
      <c r="V59" s="63"/>
      <c r="W59" s="64"/>
      <c r="X59" s="63"/>
      <c r="Y59" s="64"/>
    </row>
    <row r="60" spans="1:31" x14ac:dyDescent="0.35">
      <c r="A60" s="19">
        <v>45839</v>
      </c>
      <c r="B60" s="2">
        <f>O87</f>
        <v>4691.1499999999996</v>
      </c>
      <c r="C60" s="19">
        <v>45839</v>
      </c>
      <c r="D60" s="2">
        <f>O85</f>
        <v>2052</v>
      </c>
      <c r="E60" s="2">
        <f t="shared" si="9"/>
        <v>6743.15</v>
      </c>
      <c r="F60" s="19">
        <v>45839</v>
      </c>
      <c r="G60" s="2">
        <f>O86</f>
        <v>3416.25</v>
      </c>
      <c r="H60" s="2">
        <v>0</v>
      </c>
      <c r="I60" s="2">
        <f t="shared" si="14"/>
        <v>3416.25</v>
      </c>
      <c r="J60" s="21">
        <f t="shared" si="15"/>
        <v>10159.4</v>
      </c>
      <c r="L60" s="56"/>
      <c r="M60" s="57"/>
      <c r="N60" s="56"/>
      <c r="O60" s="57"/>
      <c r="P60" s="121"/>
      <c r="Q60" s="122"/>
      <c r="R60" s="109" t="s">
        <v>205</v>
      </c>
      <c r="S60" s="107">
        <v>0</v>
      </c>
      <c r="T60" s="68"/>
      <c r="U60" s="69"/>
      <c r="V60" s="63"/>
      <c r="W60" s="64"/>
      <c r="X60" s="63"/>
      <c r="Y60" s="64"/>
    </row>
    <row r="61" spans="1:31" x14ac:dyDescent="0.35">
      <c r="A61" s="19">
        <v>45870</v>
      </c>
      <c r="B61" s="2">
        <f>O90</f>
        <v>3940.05</v>
      </c>
      <c r="C61" s="19">
        <v>45870</v>
      </c>
      <c r="D61" s="2">
        <f>O88</f>
        <v>1212</v>
      </c>
      <c r="E61" s="2">
        <f t="shared" si="9"/>
        <v>5152.05</v>
      </c>
      <c r="F61" s="19">
        <v>45870</v>
      </c>
      <c r="G61" s="2">
        <f>O89</f>
        <v>3813.74</v>
      </c>
      <c r="H61" s="2">
        <v>0</v>
      </c>
      <c r="I61" s="2">
        <f>G61+H61</f>
        <v>3813.74</v>
      </c>
      <c r="J61" s="21">
        <f t="shared" si="15"/>
        <v>8965.7900000000009</v>
      </c>
      <c r="L61" s="56"/>
      <c r="M61" s="57"/>
      <c r="N61" s="56"/>
      <c r="O61" s="57"/>
      <c r="P61" s="121"/>
      <c r="Q61" s="122"/>
      <c r="R61" s="109" t="s">
        <v>210</v>
      </c>
      <c r="S61" s="107">
        <v>2126</v>
      </c>
      <c r="T61" s="68"/>
      <c r="U61" s="69"/>
      <c r="V61" s="63"/>
      <c r="W61" s="64"/>
      <c r="X61" s="63"/>
      <c r="Y61" s="64"/>
    </row>
    <row r="62" spans="1:31" x14ac:dyDescent="0.35">
      <c r="A62" s="19">
        <v>45901</v>
      </c>
      <c r="B62" s="2">
        <f>O93</f>
        <v>0</v>
      </c>
      <c r="C62" s="19">
        <v>45901</v>
      </c>
      <c r="D62" s="2">
        <f>O91</f>
        <v>0</v>
      </c>
      <c r="E62" s="2">
        <f t="shared" si="9"/>
        <v>0</v>
      </c>
      <c r="F62" s="19">
        <v>45901</v>
      </c>
      <c r="G62" s="2">
        <f>O92</f>
        <v>526.53</v>
      </c>
      <c r="H62" s="2">
        <v>0</v>
      </c>
      <c r="I62" s="2">
        <f>G62+H62</f>
        <v>526.53</v>
      </c>
      <c r="J62" s="21">
        <f t="shared" si="15"/>
        <v>526.53</v>
      </c>
      <c r="L62" s="56"/>
      <c r="M62" s="57"/>
      <c r="N62" s="56"/>
      <c r="O62" s="57"/>
      <c r="P62" s="121"/>
      <c r="Q62" s="122"/>
      <c r="R62" s="109" t="s">
        <v>211</v>
      </c>
      <c r="S62" s="107">
        <v>5889.9</v>
      </c>
      <c r="T62" s="68"/>
      <c r="U62" s="69"/>
      <c r="V62" s="63"/>
      <c r="W62" s="64"/>
      <c r="X62" s="63"/>
      <c r="Y62" s="64"/>
    </row>
    <row r="63" spans="1:31" x14ac:dyDescent="0.35">
      <c r="A63" s="19">
        <v>45931</v>
      </c>
      <c r="B63" s="2">
        <f>O96</f>
        <v>0</v>
      </c>
      <c r="C63" s="19">
        <v>45931</v>
      </c>
      <c r="D63" s="2">
        <f>O97</f>
        <v>0</v>
      </c>
      <c r="E63" s="2">
        <f t="shared" si="9"/>
        <v>0</v>
      </c>
      <c r="F63" s="19">
        <v>45931</v>
      </c>
      <c r="G63" s="2">
        <f>O95</f>
        <v>656.31</v>
      </c>
      <c r="H63" s="2">
        <v>0</v>
      </c>
      <c r="I63" s="2">
        <f>G63+H63</f>
        <v>656.31</v>
      </c>
      <c r="J63" s="21">
        <f t="shared" ref="J63" si="16">E63+I63</f>
        <v>656.31</v>
      </c>
      <c r="L63" s="56"/>
      <c r="M63" s="57"/>
      <c r="N63" s="56"/>
      <c r="O63" s="57"/>
      <c r="P63" s="121"/>
      <c r="Q63" s="122"/>
      <c r="R63" s="109" t="s">
        <v>212</v>
      </c>
      <c r="S63" s="107">
        <v>1981.58</v>
      </c>
      <c r="T63" s="68"/>
      <c r="U63" s="69"/>
      <c r="V63" s="63"/>
      <c r="W63" s="64"/>
      <c r="X63" s="63"/>
      <c r="Y63" s="64"/>
    </row>
    <row r="64" spans="1:31" x14ac:dyDescent="0.35">
      <c r="A64" s="19">
        <v>45962</v>
      </c>
      <c r="B64" s="2">
        <f>O99</f>
        <v>90</v>
      </c>
      <c r="C64" s="19">
        <v>45962</v>
      </c>
      <c r="D64" s="2">
        <f>O97</f>
        <v>0</v>
      </c>
      <c r="E64" s="2">
        <f t="shared" si="9"/>
        <v>90</v>
      </c>
      <c r="F64" s="19">
        <v>45962</v>
      </c>
      <c r="G64" s="2">
        <f>O98</f>
        <v>498.68</v>
      </c>
      <c r="H64" s="2">
        <v>0</v>
      </c>
      <c r="I64" s="2">
        <f>G64+H64</f>
        <v>498.68</v>
      </c>
      <c r="J64" s="21">
        <f t="shared" ref="J64" si="17">E64+I64</f>
        <v>588.68000000000006</v>
      </c>
      <c r="L64" s="56"/>
      <c r="M64" s="57"/>
      <c r="N64" s="56"/>
      <c r="O64" s="57"/>
      <c r="P64" s="121"/>
      <c r="Q64" s="122"/>
      <c r="R64" s="109" t="s">
        <v>213</v>
      </c>
      <c r="S64" s="107">
        <v>149.91999999999999</v>
      </c>
      <c r="T64" s="68"/>
      <c r="U64" s="69"/>
      <c r="V64" s="63"/>
      <c r="W64" s="64"/>
      <c r="X64" s="63"/>
      <c r="Y64" s="64"/>
    </row>
    <row r="65" spans="1:25" x14ac:dyDescent="0.35">
      <c r="A65" s="50">
        <v>45992</v>
      </c>
      <c r="B65" s="17">
        <f>O102</f>
        <v>150</v>
      </c>
      <c r="C65" s="50">
        <v>45992</v>
      </c>
      <c r="D65" s="17">
        <f>O100</f>
        <v>0</v>
      </c>
      <c r="E65" s="17">
        <f t="shared" si="9"/>
        <v>150</v>
      </c>
      <c r="F65" s="50">
        <v>45992</v>
      </c>
      <c r="G65" s="17">
        <f>O101</f>
        <v>723.6</v>
      </c>
      <c r="H65" s="17">
        <v>0</v>
      </c>
      <c r="I65" s="17">
        <f>G65+H65</f>
        <v>723.6</v>
      </c>
      <c r="J65" s="20">
        <f t="shared" ref="J65" si="18">E65+I65</f>
        <v>873.6</v>
      </c>
      <c r="L65" s="56"/>
      <c r="M65" s="57"/>
      <c r="N65" s="56"/>
      <c r="O65" s="57"/>
      <c r="P65" s="121"/>
      <c r="Q65" s="122"/>
      <c r="R65" s="111" t="s">
        <v>214</v>
      </c>
      <c r="S65" s="110">
        <v>2292</v>
      </c>
      <c r="T65" s="68"/>
      <c r="U65" s="69"/>
      <c r="V65" s="63"/>
      <c r="W65" s="64"/>
      <c r="X65" s="63"/>
      <c r="Y65" s="64"/>
    </row>
    <row r="66" spans="1:25" x14ac:dyDescent="0.35">
      <c r="L66" s="56"/>
      <c r="M66" s="57"/>
      <c r="N66" s="56"/>
      <c r="O66" s="57"/>
      <c r="P66" s="121"/>
      <c r="Q66" s="122"/>
      <c r="R66" s="111" t="s">
        <v>215</v>
      </c>
      <c r="S66" s="110">
        <v>5022.8500000000004</v>
      </c>
      <c r="T66" s="68"/>
      <c r="U66" s="69"/>
      <c r="V66" s="63"/>
      <c r="W66" s="64"/>
      <c r="X66" s="63"/>
      <c r="Y66" s="64"/>
    </row>
    <row r="67" spans="1:25" x14ac:dyDescent="0.35">
      <c r="L67" s="56"/>
      <c r="M67" s="57"/>
      <c r="N67" s="56"/>
      <c r="O67" s="57"/>
      <c r="P67" s="121"/>
      <c r="Q67" s="122"/>
      <c r="R67" s="111" t="s">
        <v>216</v>
      </c>
      <c r="S67" s="110">
        <v>1997.2</v>
      </c>
      <c r="T67" s="68"/>
      <c r="U67" s="69"/>
      <c r="V67" s="63"/>
      <c r="W67" s="64"/>
      <c r="X67" s="63"/>
      <c r="Y67" s="64"/>
    </row>
    <row r="68" spans="1:25" x14ac:dyDescent="0.35">
      <c r="L68" s="56"/>
      <c r="M68" s="57"/>
      <c r="N68" s="56"/>
      <c r="O68" s="57"/>
      <c r="P68" s="121"/>
      <c r="Q68" s="122"/>
      <c r="R68" s="111" t="s">
        <v>217</v>
      </c>
      <c r="S68" s="110">
        <v>0</v>
      </c>
      <c r="T68" s="68"/>
      <c r="U68" s="69"/>
      <c r="V68" s="63"/>
      <c r="W68" s="64"/>
      <c r="X68" s="63"/>
      <c r="Y68" s="64"/>
    </row>
    <row r="69" spans="1:25" x14ac:dyDescent="0.35">
      <c r="L69" s="56"/>
      <c r="M69" s="57"/>
      <c r="N69" s="56"/>
      <c r="O69" s="57"/>
      <c r="P69" s="121"/>
      <c r="Q69" s="122"/>
      <c r="R69" s="111" t="s">
        <v>218</v>
      </c>
      <c r="S69" s="110">
        <v>1422</v>
      </c>
      <c r="T69" s="68"/>
      <c r="U69" s="69"/>
      <c r="V69" s="63"/>
      <c r="W69" s="64"/>
      <c r="X69" s="63"/>
      <c r="Y69" s="64"/>
    </row>
    <row r="70" spans="1:25" x14ac:dyDescent="0.35">
      <c r="L70" s="56"/>
      <c r="M70" s="57"/>
      <c r="N70" s="56"/>
      <c r="O70" s="57"/>
      <c r="P70" s="121"/>
      <c r="Q70" s="122"/>
      <c r="R70" s="111" t="s">
        <v>219</v>
      </c>
      <c r="S70" s="110">
        <v>5574.75</v>
      </c>
      <c r="T70" s="68"/>
      <c r="U70" s="69"/>
      <c r="V70" s="63"/>
      <c r="W70" s="64"/>
      <c r="X70" s="63"/>
      <c r="Y70" s="64"/>
    </row>
    <row r="71" spans="1:25" x14ac:dyDescent="0.35">
      <c r="L71" s="56"/>
      <c r="M71" s="57"/>
      <c r="N71" s="56"/>
      <c r="O71" s="57"/>
      <c r="P71" s="121"/>
      <c r="Q71" s="122"/>
      <c r="R71" s="111" t="s">
        <v>220</v>
      </c>
      <c r="S71" s="112">
        <v>2124.29</v>
      </c>
      <c r="T71" s="68"/>
      <c r="U71" s="69"/>
      <c r="V71" s="63"/>
      <c r="W71" s="64"/>
      <c r="X71" s="63"/>
      <c r="Y71" s="64"/>
    </row>
    <row r="72" spans="1:25" x14ac:dyDescent="0.35">
      <c r="L72" s="56"/>
      <c r="M72" s="57"/>
      <c r="N72" s="56"/>
      <c r="O72" s="57"/>
      <c r="P72" s="121"/>
      <c r="Q72" s="122"/>
      <c r="R72" s="111" t="s">
        <v>221</v>
      </c>
      <c r="S72" s="110">
        <v>0</v>
      </c>
      <c r="T72" s="68"/>
      <c r="U72" s="69"/>
      <c r="V72" s="63"/>
      <c r="W72" s="64"/>
      <c r="X72" s="63"/>
      <c r="Y72" s="64"/>
    </row>
    <row r="73" spans="1:25" x14ac:dyDescent="0.35">
      <c r="L73" s="56"/>
      <c r="M73" s="115"/>
      <c r="N73" s="56" t="s">
        <v>228</v>
      </c>
      <c r="O73" s="97">
        <v>1133.43</v>
      </c>
      <c r="P73" s="121"/>
      <c r="Q73" s="122"/>
      <c r="R73" s="111" t="s">
        <v>222</v>
      </c>
      <c r="S73" s="110">
        <v>1164</v>
      </c>
      <c r="T73" s="68"/>
      <c r="U73" s="69"/>
      <c r="V73" s="63"/>
      <c r="W73" s="64"/>
      <c r="X73" s="63"/>
      <c r="Y73" s="64"/>
    </row>
    <row r="74" spans="1:25" x14ac:dyDescent="0.35">
      <c r="L74" s="56"/>
      <c r="M74" s="115"/>
      <c r="N74" s="56" t="s">
        <v>229</v>
      </c>
      <c r="O74" s="97">
        <v>5596.45</v>
      </c>
      <c r="P74" s="121"/>
      <c r="Q74" s="122"/>
      <c r="R74" s="111" t="s">
        <v>223</v>
      </c>
      <c r="S74" s="110">
        <v>3899.85</v>
      </c>
      <c r="T74" s="68"/>
      <c r="U74" s="69"/>
      <c r="V74" s="63"/>
      <c r="W74" s="64"/>
      <c r="X74" s="63"/>
      <c r="Y74" s="64"/>
    </row>
    <row r="75" spans="1:25" x14ac:dyDescent="0.35">
      <c r="L75" s="56"/>
      <c r="M75" s="115"/>
      <c r="N75" s="56" t="s">
        <v>230</v>
      </c>
      <c r="O75" s="97">
        <v>3153.77</v>
      </c>
      <c r="P75" s="121"/>
      <c r="Q75" s="122"/>
      <c r="R75" s="111" t="s">
        <v>224</v>
      </c>
      <c r="S75" s="110">
        <v>576.05999999999995</v>
      </c>
      <c r="T75" s="68"/>
      <c r="U75" s="69"/>
      <c r="V75" s="63"/>
      <c r="W75" s="64"/>
      <c r="X75" s="63"/>
      <c r="Y75" s="64"/>
    </row>
    <row r="76" spans="1:25" x14ac:dyDescent="0.35">
      <c r="L76" s="56"/>
      <c r="M76" s="115"/>
      <c r="N76" s="56" t="s">
        <v>231</v>
      </c>
      <c r="O76" s="97">
        <v>1044</v>
      </c>
      <c r="P76" s="121"/>
      <c r="Q76" s="122"/>
      <c r="R76" s="111" t="s">
        <v>225</v>
      </c>
      <c r="S76" s="110">
        <v>0</v>
      </c>
      <c r="T76" s="68"/>
      <c r="U76" s="69"/>
      <c r="V76" s="63"/>
      <c r="W76" s="64"/>
      <c r="X76" s="63"/>
      <c r="Y76" s="64"/>
    </row>
    <row r="77" spans="1:25" x14ac:dyDescent="0.35">
      <c r="L77" s="56"/>
      <c r="M77" s="115"/>
      <c r="N77" s="56" t="s">
        <v>232</v>
      </c>
      <c r="O77" s="97">
        <v>3618.39</v>
      </c>
      <c r="P77" s="121"/>
      <c r="Q77" s="122"/>
      <c r="R77" s="111" t="s">
        <v>226</v>
      </c>
      <c r="S77" s="110">
        <v>2220</v>
      </c>
      <c r="T77" s="68"/>
      <c r="U77" s="69"/>
      <c r="V77" s="63"/>
      <c r="W77" s="64"/>
      <c r="X77" s="63"/>
      <c r="Y77" s="64"/>
    </row>
    <row r="78" spans="1:25" x14ac:dyDescent="0.35">
      <c r="L78" s="56"/>
      <c r="M78" s="115"/>
      <c r="N78" s="56" t="s">
        <v>233</v>
      </c>
      <c r="O78" s="97">
        <v>4789.1000000000004</v>
      </c>
      <c r="P78" s="121"/>
      <c r="Q78" s="122"/>
      <c r="R78" s="111" t="s">
        <v>227</v>
      </c>
      <c r="S78" s="110">
        <v>18280.900000000001</v>
      </c>
      <c r="T78" s="68"/>
      <c r="U78" s="69"/>
      <c r="V78" s="63"/>
      <c r="W78" s="64"/>
      <c r="X78" s="63"/>
      <c r="Y78" s="64"/>
    </row>
    <row r="79" spans="1:25" x14ac:dyDescent="0.35">
      <c r="L79" s="56"/>
      <c r="M79" s="115"/>
      <c r="N79" s="56" t="s">
        <v>234</v>
      </c>
      <c r="O79" s="97">
        <v>2292</v>
      </c>
      <c r="P79" s="121"/>
      <c r="Q79" s="122"/>
      <c r="R79" s="111"/>
      <c r="S79" s="110"/>
      <c r="T79" s="68"/>
      <c r="U79" s="69"/>
      <c r="V79" s="63"/>
      <c r="W79" s="64"/>
      <c r="X79" s="63"/>
      <c r="Y79" s="64"/>
    </row>
    <row r="80" spans="1:25" x14ac:dyDescent="0.35">
      <c r="L80" s="56"/>
      <c r="M80" s="115"/>
      <c r="N80" s="56" t="s">
        <v>235</v>
      </c>
      <c r="O80" s="97">
        <v>4500.05</v>
      </c>
      <c r="P80" s="121"/>
      <c r="Q80" s="122"/>
      <c r="R80" s="111"/>
      <c r="S80" s="110"/>
      <c r="T80" s="68"/>
      <c r="U80" s="69"/>
      <c r="V80" s="63"/>
      <c r="W80" s="64"/>
      <c r="X80" s="63"/>
      <c r="Y80" s="64"/>
    </row>
    <row r="81" spans="12:25" x14ac:dyDescent="0.35">
      <c r="L81" s="56"/>
      <c r="M81" s="115"/>
      <c r="N81" s="56" t="s">
        <v>236</v>
      </c>
      <c r="O81" s="97">
        <v>2369.4</v>
      </c>
      <c r="P81" s="121"/>
      <c r="Q81" s="122"/>
      <c r="R81" s="109"/>
      <c r="S81" s="107"/>
      <c r="T81" s="68"/>
      <c r="U81" s="69"/>
      <c r="V81" s="63"/>
      <c r="W81" s="64"/>
      <c r="X81" s="63"/>
      <c r="Y81" s="64"/>
    </row>
    <row r="82" spans="12:25" x14ac:dyDescent="0.35">
      <c r="L82" s="56"/>
      <c r="M82" s="115"/>
      <c r="N82" s="41" t="s">
        <v>237</v>
      </c>
      <c r="O82" s="2">
        <v>1686</v>
      </c>
      <c r="P82" s="121"/>
      <c r="Q82" s="122"/>
      <c r="R82" s="109"/>
      <c r="S82" s="107"/>
      <c r="T82" s="68"/>
      <c r="U82" s="69"/>
      <c r="V82" s="63"/>
      <c r="W82" s="64"/>
      <c r="X82" s="63"/>
      <c r="Y82" s="64"/>
    </row>
    <row r="83" spans="12:25" x14ac:dyDescent="0.35">
      <c r="L83" s="56"/>
      <c r="M83" s="115"/>
      <c r="N83" s="41" t="s">
        <v>238</v>
      </c>
      <c r="O83" s="2">
        <v>3791.32</v>
      </c>
      <c r="P83" s="121"/>
      <c r="Q83" s="122"/>
      <c r="R83" s="109"/>
      <c r="S83" s="107"/>
      <c r="T83" s="68"/>
      <c r="U83" s="69"/>
      <c r="V83" s="63"/>
      <c r="W83" s="64"/>
      <c r="X83" s="63"/>
      <c r="Y83" s="64"/>
    </row>
    <row r="84" spans="12:25" x14ac:dyDescent="0.35">
      <c r="L84" s="56"/>
      <c r="M84" s="115"/>
      <c r="N84" s="41" t="s">
        <v>239</v>
      </c>
      <c r="O84" s="2">
        <v>3951</v>
      </c>
      <c r="P84" s="121"/>
      <c r="Q84" s="122"/>
      <c r="R84" s="109"/>
      <c r="S84" s="107"/>
      <c r="T84" s="68"/>
      <c r="U84" s="69"/>
      <c r="V84" s="63"/>
      <c r="W84" s="64"/>
      <c r="X84" s="63"/>
      <c r="Y84" s="64"/>
    </row>
    <row r="85" spans="12:25" x14ac:dyDescent="0.35">
      <c r="L85" s="56"/>
      <c r="M85" s="115"/>
      <c r="N85" s="41" t="s">
        <v>242</v>
      </c>
      <c r="O85" s="2">
        <v>2052</v>
      </c>
      <c r="P85" s="121"/>
      <c r="Q85" s="122"/>
      <c r="R85" s="109"/>
      <c r="S85" s="107"/>
      <c r="T85" s="68"/>
      <c r="U85" s="69"/>
      <c r="V85" s="63"/>
      <c r="W85" s="64"/>
      <c r="X85" s="63"/>
      <c r="Y85" s="64"/>
    </row>
    <row r="86" spans="12:25" x14ac:dyDescent="0.35">
      <c r="L86" s="56"/>
      <c r="M86" s="115"/>
      <c r="N86" s="41" t="s">
        <v>243</v>
      </c>
      <c r="O86" s="2">
        <v>3416.25</v>
      </c>
      <c r="P86" s="121"/>
      <c r="Q86" s="122"/>
      <c r="R86" s="109"/>
      <c r="S86" s="107"/>
      <c r="T86" s="68"/>
      <c r="U86" s="69"/>
      <c r="V86" s="63"/>
      <c r="W86" s="64"/>
      <c r="X86" s="63"/>
      <c r="Y86" s="64"/>
    </row>
    <row r="87" spans="12:25" x14ac:dyDescent="0.35">
      <c r="L87" s="56"/>
      <c r="M87" s="115"/>
      <c r="N87" s="41" t="s">
        <v>244</v>
      </c>
      <c r="O87" s="2">
        <v>4691.1499999999996</v>
      </c>
      <c r="P87" s="121"/>
      <c r="Q87" s="122"/>
      <c r="R87" s="109"/>
      <c r="S87" s="107"/>
      <c r="T87" s="68"/>
      <c r="U87" s="69"/>
      <c r="V87" s="63"/>
      <c r="W87" s="64"/>
      <c r="X87" s="63"/>
      <c r="Y87" s="64"/>
    </row>
    <row r="88" spans="12:25" x14ac:dyDescent="0.35">
      <c r="L88" s="56"/>
      <c r="M88" s="115"/>
      <c r="N88" s="41" t="s">
        <v>245</v>
      </c>
      <c r="O88" s="2">
        <v>1212</v>
      </c>
      <c r="P88" s="121"/>
      <c r="Q88" s="122"/>
      <c r="R88" s="109"/>
      <c r="S88" s="107"/>
      <c r="T88" s="68"/>
      <c r="U88" s="69"/>
      <c r="V88" s="63"/>
      <c r="W88" s="64"/>
      <c r="X88" s="63"/>
      <c r="Y88" s="64"/>
    </row>
    <row r="89" spans="12:25" x14ac:dyDescent="0.35">
      <c r="L89" s="56"/>
      <c r="M89" s="115"/>
      <c r="N89" s="41" t="s">
        <v>246</v>
      </c>
      <c r="O89" s="2">
        <v>3813.74</v>
      </c>
      <c r="P89" s="121"/>
      <c r="Q89" s="122"/>
      <c r="R89" s="109"/>
      <c r="S89" s="107"/>
      <c r="T89" s="68"/>
      <c r="U89" s="69"/>
      <c r="V89" s="63"/>
      <c r="W89" s="64"/>
      <c r="X89" s="63"/>
      <c r="Y89" s="64"/>
    </row>
    <row r="90" spans="12:25" x14ac:dyDescent="0.35">
      <c r="L90" s="56"/>
      <c r="M90" s="115"/>
      <c r="N90" s="41" t="s">
        <v>247</v>
      </c>
      <c r="O90" s="2">
        <v>3940.05</v>
      </c>
      <c r="P90" s="121"/>
      <c r="Q90" s="122"/>
      <c r="R90" s="109"/>
      <c r="S90" s="107"/>
      <c r="T90" s="68"/>
      <c r="U90" s="69"/>
      <c r="V90" s="63"/>
      <c r="W90" s="64"/>
      <c r="X90" s="63"/>
      <c r="Y90" s="64"/>
    </row>
    <row r="91" spans="12:25" x14ac:dyDescent="0.35">
      <c r="L91" s="56"/>
      <c r="M91" s="115"/>
      <c r="N91" s="41" t="s">
        <v>255</v>
      </c>
      <c r="O91" s="2">
        <v>0</v>
      </c>
      <c r="P91" s="121"/>
      <c r="Q91" s="122"/>
      <c r="R91" s="109"/>
      <c r="S91" s="107"/>
      <c r="T91" s="68"/>
      <c r="U91" s="69"/>
      <c r="V91" s="63"/>
      <c r="W91" s="64"/>
      <c r="X91" s="63"/>
      <c r="Y91" s="64"/>
    </row>
    <row r="92" spans="12:25" x14ac:dyDescent="0.35">
      <c r="L92" s="56"/>
      <c r="M92" s="115"/>
      <c r="N92" s="41" t="s">
        <v>256</v>
      </c>
      <c r="O92" s="2">
        <v>526.53</v>
      </c>
      <c r="P92" s="121"/>
      <c r="Q92" s="122"/>
      <c r="R92" s="109"/>
      <c r="S92" s="107"/>
      <c r="T92" s="68"/>
      <c r="U92" s="69"/>
      <c r="V92" s="63"/>
      <c r="W92" s="64"/>
      <c r="X92" s="63"/>
      <c r="Y92" s="64"/>
    </row>
    <row r="93" spans="12:25" x14ac:dyDescent="0.35">
      <c r="L93" s="56"/>
      <c r="M93" s="115"/>
      <c r="N93" s="41" t="s">
        <v>257</v>
      </c>
      <c r="O93" s="2">
        <v>0</v>
      </c>
      <c r="P93" s="121"/>
      <c r="Q93" s="122"/>
      <c r="R93" s="109"/>
      <c r="S93" s="107"/>
      <c r="T93" s="68"/>
      <c r="U93" s="69"/>
      <c r="V93" s="63"/>
      <c r="W93" s="64"/>
      <c r="X93" s="63"/>
      <c r="Y93" s="64"/>
    </row>
    <row r="94" spans="12:25" x14ac:dyDescent="0.35">
      <c r="L94" s="56"/>
      <c r="M94" s="115"/>
      <c r="N94" s="41" t="s">
        <v>258</v>
      </c>
      <c r="O94" s="2">
        <v>0</v>
      </c>
      <c r="P94" s="121"/>
      <c r="Q94" s="122"/>
      <c r="R94" s="109"/>
      <c r="S94" s="107"/>
      <c r="T94" s="68"/>
      <c r="U94" s="69"/>
      <c r="V94" s="63"/>
      <c r="W94" s="64"/>
      <c r="X94" s="63"/>
      <c r="Y94" s="64"/>
    </row>
    <row r="95" spans="12:25" x14ac:dyDescent="0.35">
      <c r="L95" s="56"/>
      <c r="M95" s="115"/>
      <c r="N95" s="41" t="s">
        <v>259</v>
      </c>
      <c r="O95" s="2">
        <v>656.31</v>
      </c>
      <c r="P95" s="121"/>
      <c r="Q95" s="122"/>
      <c r="R95" s="109"/>
      <c r="S95" s="107"/>
      <c r="T95" s="68"/>
      <c r="U95" s="69"/>
      <c r="V95" s="63"/>
      <c r="W95" s="64"/>
      <c r="X95" s="63"/>
      <c r="Y95" s="64"/>
    </row>
    <row r="96" spans="12:25" x14ac:dyDescent="0.35">
      <c r="L96" s="56"/>
      <c r="M96" s="115"/>
      <c r="N96" s="41" t="s">
        <v>260</v>
      </c>
      <c r="O96" s="2">
        <v>0</v>
      </c>
      <c r="P96" s="121"/>
      <c r="Q96" s="122"/>
      <c r="R96" s="109"/>
      <c r="S96" s="107"/>
      <c r="T96" s="68"/>
      <c r="U96" s="69"/>
      <c r="V96" s="63"/>
      <c r="W96" s="64"/>
      <c r="X96" s="63"/>
      <c r="Y96" s="64"/>
    </row>
    <row r="97" spans="1:25" x14ac:dyDescent="0.35">
      <c r="L97" s="56"/>
      <c r="M97" s="115"/>
      <c r="N97" s="41" t="s">
        <v>261</v>
      </c>
      <c r="O97" s="2">
        <v>0</v>
      </c>
      <c r="P97" s="121"/>
      <c r="Q97" s="122"/>
      <c r="R97" s="109"/>
      <c r="S97" s="107"/>
      <c r="T97" s="68"/>
      <c r="U97" s="69"/>
      <c r="V97" s="63"/>
      <c r="W97" s="64"/>
      <c r="X97" s="63"/>
      <c r="Y97" s="64"/>
    </row>
    <row r="98" spans="1:25" x14ac:dyDescent="0.35">
      <c r="L98" s="56"/>
      <c r="M98" s="115"/>
      <c r="N98" s="41" t="s">
        <v>262</v>
      </c>
      <c r="O98" s="2">
        <v>498.68</v>
      </c>
      <c r="P98" s="121"/>
      <c r="Q98" s="122"/>
      <c r="R98" s="109"/>
      <c r="S98" s="107"/>
      <c r="T98" s="68"/>
      <c r="U98" s="69"/>
      <c r="V98" s="63"/>
      <c r="W98" s="64"/>
      <c r="X98" s="63"/>
      <c r="Y98" s="64"/>
    </row>
    <row r="99" spans="1:25" x14ac:dyDescent="0.35">
      <c r="L99" s="56"/>
      <c r="M99" s="115"/>
      <c r="N99" s="41" t="s">
        <v>263</v>
      </c>
      <c r="O99" s="2">
        <v>90</v>
      </c>
      <c r="P99" s="121"/>
      <c r="Q99" s="122"/>
      <c r="R99" s="109"/>
      <c r="S99" s="107"/>
      <c r="T99" s="68"/>
      <c r="U99" s="69"/>
      <c r="V99" s="63"/>
      <c r="W99" s="64"/>
      <c r="X99" s="63"/>
      <c r="Y99" s="64"/>
    </row>
    <row r="100" spans="1:25" x14ac:dyDescent="0.35">
      <c r="L100" s="56"/>
      <c r="M100" s="115"/>
      <c r="N100" s="101" t="s">
        <v>274</v>
      </c>
      <c r="O100" s="17">
        <v>0</v>
      </c>
      <c r="P100" s="121"/>
      <c r="Q100" s="122"/>
      <c r="R100" s="109"/>
      <c r="S100" s="107"/>
      <c r="T100" s="68"/>
      <c r="U100" s="69"/>
      <c r="V100" s="63"/>
      <c r="W100" s="64"/>
      <c r="X100" s="63"/>
      <c r="Y100" s="64"/>
    </row>
    <row r="101" spans="1:25" x14ac:dyDescent="0.35">
      <c r="L101" s="56"/>
      <c r="M101" s="115"/>
      <c r="N101" s="101" t="s">
        <v>275</v>
      </c>
      <c r="O101" s="17">
        <v>723.6</v>
      </c>
      <c r="P101" s="121"/>
      <c r="Q101" s="122"/>
      <c r="R101" s="109"/>
      <c r="S101" s="107"/>
      <c r="T101" s="68"/>
      <c r="U101" s="69"/>
      <c r="V101" s="63"/>
      <c r="W101" s="64"/>
      <c r="X101" s="63"/>
      <c r="Y101" s="64"/>
    </row>
    <row r="102" spans="1:25" x14ac:dyDescent="0.35">
      <c r="L102" s="56"/>
      <c r="M102" s="115"/>
      <c r="N102" s="101" t="s">
        <v>276</v>
      </c>
      <c r="O102" s="17">
        <v>150</v>
      </c>
      <c r="P102" s="121"/>
      <c r="Q102" s="122"/>
      <c r="R102" s="109"/>
      <c r="S102" s="107"/>
      <c r="T102" s="68"/>
      <c r="U102" s="69"/>
      <c r="V102" s="63"/>
      <c r="W102" s="64"/>
      <c r="X102" s="63"/>
      <c r="Y102" s="64"/>
    </row>
    <row r="103" spans="1:25" x14ac:dyDescent="0.35">
      <c r="L103" s="56"/>
      <c r="M103" s="57"/>
      <c r="N103" s="98"/>
      <c r="O103" s="99"/>
      <c r="P103" s="121"/>
      <c r="Q103" s="122"/>
      <c r="R103" s="109"/>
      <c r="S103" s="107"/>
      <c r="T103" s="68"/>
      <c r="U103" s="69"/>
      <c r="V103" s="63"/>
      <c r="W103" s="64"/>
      <c r="X103" s="63"/>
      <c r="Y103" s="64"/>
    </row>
    <row r="104" spans="1:25" x14ac:dyDescent="0.35">
      <c r="L104" s="56"/>
      <c r="M104" s="57"/>
      <c r="N104" s="98"/>
      <c r="O104" s="99"/>
      <c r="P104" s="121"/>
      <c r="Q104" s="122"/>
      <c r="R104" s="109"/>
      <c r="S104" s="107"/>
      <c r="T104" s="68"/>
      <c r="U104" s="69"/>
      <c r="V104" s="63"/>
      <c r="W104" s="64"/>
      <c r="X104" s="63"/>
      <c r="Y104" s="64"/>
    </row>
    <row r="105" spans="1:25" x14ac:dyDescent="0.35">
      <c r="A105" s="40" t="s">
        <v>280</v>
      </c>
      <c r="B105" s="18"/>
      <c r="C105" s="18"/>
      <c r="D105" s="20">
        <f>SUM(J54:J65)</f>
        <v>76706.739999999991</v>
      </c>
      <c r="E105" s="20"/>
      <c r="F105" s="40" t="s">
        <v>264</v>
      </c>
      <c r="G105" s="18"/>
      <c r="H105" s="18"/>
      <c r="I105" s="18"/>
      <c r="J105" s="20">
        <f>D105/12</f>
        <v>6392.2283333333326</v>
      </c>
      <c r="L105" s="82" t="s">
        <v>119</v>
      </c>
      <c r="M105" s="83">
        <f>SUM(M73:M103)</f>
        <v>0</v>
      </c>
      <c r="N105" s="91" t="s">
        <v>119</v>
      </c>
      <c r="O105" s="100">
        <f>SUM(O73:O103)</f>
        <v>59695.22</v>
      </c>
      <c r="P105" s="123" t="s">
        <v>119</v>
      </c>
      <c r="Q105" s="124">
        <f>SUM(Q15:Q48)</f>
        <v>0</v>
      </c>
      <c r="R105" s="91" t="s">
        <v>119</v>
      </c>
      <c r="S105" s="92">
        <f>SUM(S12:S103)</f>
        <v>152099.30000000002</v>
      </c>
      <c r="T105" s="70" t="s">
        <v>119</v>
      </c>
      <c r="U105" s="71">
        <f>SUM(U15:U48)</f>
        <v>31250</v>
      </c>
      <c r="V105" s="82" t="s">
        <v>119</v>
      </c>
      <c r="W105" s="83">
        <f>SUM(W2:W43)</f>
        <v>84904</v>
      </c>
      <c r="X105" s="82" t="s">
        <v>119</v>
      </c>
      <c r="Y105" s="84">
        <f>SUM(Y2:Y35)</f>
        <v>99911.819999999978</v>
      </c>
    </row>
    <row r="106" spans="1:25" x14ac:dyDescent="0.35">
      <c r="L106" s="56"/>
      <c r="M106" s="57"/>
      <c r="N106" s="98"/>
      <c r="O106" s="99"/>
      <c r="P106" s="121"/>
      <c r="Q106" s="122"/>
      <c r="R106" s="58"/>
      <c r="S106" s="93"/>
      <c r="T106" s="63"/>
      <c r="U106" s="64"/>
      <c r="V106" s="56"/>
      <c r="W106" s="57"/>
      <c r="X106" s="56"/>
      <c r="Y106" s="57"/>
    </row>
    <row r="107" spans="1:25" ht="15" thickBot="1" x14ac:dyDescent="0.4">
      <c r="A107" s="8" t="s">
        <v>249</v>
      </c>
      <c r="B107" s="8"/>
      <c r="C107" s="8"/>
      <c r="L107" s="85" t="s">
        <v>108</v>
      </c>
      <c r="M107" s="86">
        <f>M1-M105</f>
        <v>50000</v>
      </c>
      <c r="N107" s="94" t="s">
        <v>108</v>
      </c>
      <c r="O107" s="95">
        <f>O1-O105</f>
        <v>75304.78</v>
      </c>
      <c r="P107" s="125" t="s">
        <v>108</v>
      </c>
      <c r="Q107" s="126">
        <v>28800</v>
      </c>
      <c r="R107" s="94" t="s">
        <v>108</v>
      </c>
      <c r="S107" s="95">
        <f>S1-S105+S106</f>
        <v>-2099.3000000000175</v>
      </c>
      <c r="T107" s="72" t="s">
        <v>108</v>
      </c>
      <c r="U107" s="73">
        <f>U1-U105</f>
        <v>0</v>
      </c>
      <c r="V107" s="85" t="s">
        <v>108</v>
      </c>
      <c r="W107" s="86">
        <f>W1-W105</f>
        <v>2096</v>
      </c>
      <c r="X107" s="85" t="s">
        <v>108</v>
      </c>
      <c r="Y107" s="86">
        <f>Y1-Y105</f>
        <v>88.180000000022119</v>
      </c>
    </row>
    <row r="108" spans="1:25" x14ac:dyDescent="0.35">
      <c r="B108" s="116" t="s">
        <v>117</v>
      </c>
      <c r="C108" s="8">
        <v>354</v>
      </c>
      <c r="D108" t="s">
        <v>252</v>
      </c>
      <c r="R108" s="18"/>
      <c r="S108" s="18"/>
      <c r="T108" s="27"/>
      <c r="U108" s="27"/>
      <c r="V108" s="27"/>
      <c r="W108" s="27"/>
      <c r="X108" s="27"/>
      <c r="Y108" s="27"/>
    </row>
    <row r="109" spans="1:25" x14ac:dyDescent="0.35">
      <c r="B109" s="116" t="s">
        <v>118</v>
      </c>
      <c r="C109" s="8">
        <v>345</v>
      </c>
      <c r="D109" t="s">
        <v>253</v>
      </c>
      <c r="Q109" s="18" t="s">
        <v>272</v>
      </c>
      <c r="V109" s="6"/>
      <c r="W109" s="2"/>
    </row>
    <row r="110" spans="1:25" x14ac:dyDescent="0.35">
      <c r="B110" s="116" t="s">
        <v>151</v>
      </c>
      <c r="C110" s="8">
        <v>155</v>
      </c>
      <c r="V110" s="6"/>
      <c r="W110" s="59"/>
    </row>
    <row r="111" spans="1:25" x14ac:dyDescent="0.35">
      <c r="B111" s="116" t="s">
        <v>152</v>
      </c>
      <c r="C111" s="8">
        <f>C108+C109-C110</f>
        <v>544</v>
      </c>
      <c r="V111" s="6"/>
      <c r="W111" s="60"/>
    </row>
    <row r="112" spans="1:25" x14ac:dyDescent="0.35">
      <c r="B112" s="51"/>
      <c r="L112" s="39" t="s">
        <v>277</v>
      </c>
      <c r="M112" s="17">
        <f>AVERAGE(J62:J65)</f>
        <v>661.28</v>
      </c>
    </row>
    <row r="113" spans="1:28" x14ac:dyDescent="0.35">
      <c r="A113" s="40" t="s">
        <v>278</v>
      </c>
      <c r="B113" s="40"/>
      <c r="C113" s="40"/>
      <c r="D113" s="18"/>
      <c r="E113" s="18"/>
      <c r="F113" s="18"/>
      <c r="G113" s="18"/>
      <c r="H113" s="18"/>
      <c r="I113" s="18"/>
      <c r="L113" s="40" t="s">
        <v>208</v>
      </c>
      <c r="M113" s="17">
        <f>M107+O107+Q107+U107+S107+W107+Y107</f>
        <v>154189.66</v>
      </c>
      <c r="P113" s="2"/>
      <c r="Q113" s="2"/>
      <c r="T113" s="55"/>
    </row>
    <row r="114" spans="1:28" x14ac:dyDescent="0.35">
      <c r="A114" s="18"/>
      <c r="B114" s="39" t="s">
        <v>250</v>
      </c>
      <c r="C114" s="40">
        <v>97</v>
      </c>
      <c r="D114" s="40" t="s">
        <v>279</v>
      </c>
      <c r="E114" s="18"/>
      <c r="F114" s="18"/>
      <c r="G114" s="18"/>
      <c r="H114" s="18"/>
      <c r="I114" s="18"/>
      <c r="L114" s="39" t="s">
        <v>265</v>
      </c>
      <c r="M114" s="20">
        <v>80000</v>
      </c>
      <c r="T114" s="55"/>
    </row>
    <row r="115" spans="1:28" x14ac:dyDescent="0.35">
      <c r="A115" s="18"/>
      <c r="B115" s="39" t="s">
        <v>254</v>
      </c>
      <c r="C115" s="40">
        <f>E115+G115+I115</f>
        <v>33</v>
      </c>
      <c r="D115" s="39" t="s">
        <v>270</v>
      </c>
      <c r="E115" s="127">
        <v>10</v>
      </c>
      <c r="F115" s="39" t="s">
        <v>271</v>
      </c>
      <c r="G115" s="128">
        <v>7</v>
      </c>
      <c r="H115" s="40" t="s">
        <v>269</v>
      </c>
      <c r="I115" s="128">
        <v>16</v>
      </c>
      <c r="L115" s="39" t="s">
        <v>266</v>
      </c>
      <c r="M115" s="20">
        <f>M113-M114</f>
        <v>74189.66</v>
      </c>
      <c r="P115" s="59"/>
      <c r="Q115" s="59"/>
      <c r="T115" s="55"/>
    </row>
    <row r="116" spans="1:28" x14ac:dyDescent="0.35">
      <c r="A116" s="18"/>
      <c r="B116" s="39" t="s">
        <v>267</v>
      </c>
      <c r="C116" s="40">
        <f>E116+G116+I116</f>
        <v>38</v>
      </c>
      <c r="D116" s="39" t="s">
        <v>270</v>
      </c>
      <c r="E116" s="127">
        <v>17</v>
      </c>
      <c r="F116" s="39" t="s">
        <v>271</v>
      </c>
      <c r="G116" s="128">
        <v>8</v>
      </c>
      <c r="H116" s="40" t="s">
        <v>269</v>
      </c>
      <c r="I116" s="128">
        <v>13</v>
      </c>
      <c r="L116" s="52" t="s">
        <v>109</v>
      </c>
      <c r="M116" s="53">
        <f>M115/M112</f>
        <v>112.19099322526012</v>
      </c>
      <c r="P116" s="60"/>
      <c r="Q116" s="60"/>
      <c r="T116" s="55"/>
    </row>
    <row r="117" spans="1:28" x14ac:dyDescent="0.35">
      <c r="A117" s="18"/>
      <c r="B117" s="39" t="s">
        <v>268</v>
      </c>
      <c r="C117" s="40">
        <f>E117+G117+I117</f>
        <v>38</v>
      </c>
      <c r="D117" s="39" t="s">
        <v>270</v>
      </c>
      <c r="E117" s="127">
        <v>13</v>
      </c>
      <c r="F117" s="39" t="s">
        <v>271</v>
      </c>
      <c r="G117" s="128">
        <v>6</v>
      </c>
      <c r="H117" s="40" t="s">
        <v>269</v>
      </c>
      <c r="I117" s="128">
        <v>19</v>
      </c>
      <c r="L117" s="52" t="s">
        <v>110</v>
      </c>
      <c r="M117" s="54">
        <f>A64+(M116*30)</f>
        <v>49327.729796757805</v>
      </c>
    </row>
    <row r="118" spans="1:28" x14ac:dyDescent="0.35">
      <c r="A118" s="18"/>
      <c r="B118" s="39" t="s">
        <v>273</v>
      </c>
      <c r="C118" s="40">
        <v>46</v>
      </c>
      <c r="D118" s="39" t="s">
        <v>270</v>
      </c>
      <c r="E118" s="127">
        <v>19</v>
      </c>
      <c r="F118" s="39" t="s">
        <v>271</v>
      </c>
      <c r="G118" s="128">
        <v>6</v>
      </c>
      <c r="H118" s="40" t="s">
        <v>269</v>
      </c>
      <c r="I118" s="128">
        <v>21</v>
      </c>
      <c r="L118" s="52"/>
      <c r="M118" s="54"/>
    </row>
    <row r="119" spans="1:28" x14ac:dyDescent="0.35">
      <c r="E119" s="6"/>
    </row>
    <row r="120" spans="1:28" x14ac:dyDescent="0.35">
      <c r="A120" s="18"/>
      <c r="B120" s="39" t="s">
        <v>251</v>
      </c>
      <c r="C120" s="129"/>
      <c r="D120" s="18"/>
      <c r="E120" s="18"/>
      <c r="T120" s="18"/>
      <c r="U120" s="18"/>
    </row>
    <row r="121" spans="1:28" x14ac:dyDescent="0.35">
      <c r="A121" s="18"/>
      <c r="B121" s="39"/>
      <c r="C121" s="40"/>
      <c r="D121" s="18"/>
      <c r="E121" s="18"/>
      <c r="T121" s="18"/>
      <c r="U121" s="18"/>
      <c r="AB121" t="s">
        <v>112</v>
      </c>
    </row>
    <row r="122" spans="1:28" x14ac:dyDescent="0.35">
      <c r="T122" s="18"/>
      <c r="U122" s="18"/>
    </row>
    <row r="123" spans="1:28" x14ac:dyDescent="0.35">
      <c r="T123" s="18"/>
      <c r="U123" s="18"/>
    </row>
    <row r="124" spans="1:28" x14ac:dyDescent="0.35">
      <c r="T124" s="18"/>
      <c r="U124" s="18"/>
      <c r="AB124" t="s">
        <v>113</v>
      </c>
    </row>
    <row r="125" spans="1:28" x14ac:dyDescent="0.35">
      <c r="T125" s="18"/>
      <c r="U125" s="18"/>
    </row>
    <row r="126" spans="1:28" x14ac:dyDescent="0.35">
      <c r="T126" s="18"/>
      <c r="U126" s="18"/>
    </row>
    <row r="127" spans="1:28" x14ac:dyDescent="0.35">
      <c r="T127" s="18"/>
      <c r="U127" s="18"/>
      <c r="AB127" t="s">
        <v>114</v>
      </c>
    </row>
    <row r="128" spans="1:28" x14ac:dyDescent="0.35">
      <c r="T128" s="18"/>
      <c r="U128" s="18"/>
    </row>
    <row r="129" spans="20:28" x14ac:dyDescent="0.35">
      <c r="T129" s="18"/>
      <c r="U129" s="18"/>
    </row>
    <row r="130" spans="20:28" x14ac:dyDescent="0.35">
      <c r="T130" s="18"/>
      <c r="U130" s="18"/>
      <c r="AB130" t="s">
        <v>115</v>
      </c>
    </row>
    <row r="131" spans="20:28" x14ac:dyDescent="0.35">
      <c r="T131" s="18"/>
      <c r="U131" s="18"/>
    </row>
    <row r="132" spans="20:28" x14ac:dyDescent="0.35">
      <c r="T132" s="18"/>
      <c r="U132" s="18"/>
    </row>
    <row r="133" spans="20:28" x14ac:dyDescent="0.35">
      <c r="T133" s="18"/>
      <c r="U133" s="18"/>
    </row>
    <row r="134" spans="20:28" x14ac:dyDescent="0.35">
      <c r="T134" s="18"/>
      <c r="U134" s="18"/>
      <c r="AB134" t="s">
        <v>120</v>
      </c>
    </row>
    <row r="135" spans="20:28" x14ac:dyDescent="0.35">
      <c r="T135" s="18"/>
      <c r="U135" s="18"/>
    </row>
    <row r="136" spans="20:28" x14ac:dyDescent="0.35">
      <c r="T136" s="18"/>
      <c r="U136" s="18"/>
    </row>
    <row r="137" spans="20:28" x14ac:dyDescent="0.35">
      <c r="T137" s="18"/>
      <c r="U137" s="18"/>
      <c r="AB137" t="s">
        <v>131</v>
      </c>
    </row>
    <row r="138" spans="20:28" x14ac:dyDescent="0.35">
      <c r="T138" s="18"/>
      <c r="U138" s="18"/>
    </row>
    <row r="139" spans="20:28" x14ac:dyDescent="0.35">
      <c r="T139" s="18"/>
      <c r="U139" s="18"/>
    </row>
    <row r="140" spans="20:28" x14ac:dyDescent="0.35">
      <c r="T140" s="18"/>
      <c r="U140" s="18"/>
    </row>
    <row r="141" spans="20:28" x14ac:dyDescent="0.35">
      <c r="T141" s="18"/>
      <c r="U141" s="18"/>
      <c r="AB141" t="s">
        <v>162</v>
      </c>
    </row>
    <row r="142" spans="20:28" x14ac:dyDescent="0.35">
      <c r="T142" s="18"/>
      <c r="U142" s="18"/>
    </row>
    <row r="143" spans="20:28" x14ac:dyDescent="0.35">
      <c r="T143" s="18"/>
      <c r="U143" s="18"/>
    </row>
    <row r="144" spans="20:28" x14ac:dyDescent="0.35">
      <c r="AB144" t="s">
        <v>182</v>
      </c>
    </row>
    <row r="147" spans="28:28" x14ac:dyDescent="0.35">
      <c r="AB147" t="s">
        <v>192</v>
      </c>
    </row>
    <row r="150" spans="28:28" x14ac:dyDescent="0.35">
      <c r="AB150" t="s">
        <v>206</v>
      </c>
    </row>
    <row r="152" spans="28:28" x14ac:dyDescent="0.35">
      <c r="AB152" t="s">
        <v>248</v>
      </c>
    </row>
  </sheetData>
  <pageMargins left="0.7" right="0.7" top="0.75" bottom="0.75" header="0.3" footer="0.3"/>
  <pageSetup paperSize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Duchesneau, Adam</dc:creator>
  <cp:lastModifiedBy>Carty, Daniel E</cp:lastModifiedBy>
  <cp:lastPrinted>2022-04-05T18:46:07Z</cp:lastPrinted>
  <dcterms:created xsi:type="dcterms:W3CDTF">2021-08-04T13:09:50Z</dcterms:created>
  <dcterms:modified xsi:type="dcterms:W3CDTF">2026-02-06T15:56:32Z</dcterms:modified>
</cp:coreProperties>
</file>