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e.carty\OneDrive - Quest Diagnostics\Desktop\Keep\Transportation Cmte\2024 meetings\20241206_documents\"/>
    </mc:Choice>
  </mc:AlternateContent>
  <xr:revisionPtr revIDLastSave="0" documentId="13_ncr:1_{B483FCF6-5A4D-43D4-93D5-56A1A8B0F88D}" xr6:coauthVersionLast="47" xr6:coauthVersionMax="47" xr10:uidLastSave="{00000000-0000-0000-0000-000000000000}"/>
  <bookViews>
    <workbookView xWindow="28680" yWindow="4575" windowWidth="20730" windowHeight="11040" xr2:uid="{477B1B80-E3E4-46F1-A309-03E28F8D84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P67" i="1"/>
  <c r="P65" i="1"/>
  <c r="P61" i="1"/>
  <c r="I51" i="1"/>
  <c r="J51" i="1" s="1"/>
  <c r="E51" i="1"/>
  <c r="H50" i="1" l="1"/>
  <c r="G50" i="1"/>
  <c r="I50" i="1" s="1"/>
  <c r="D50" i="1"/>
  <c r="B50" i="1"/>
  <c r="E50" i="1" l="1"/>
  <c r="J50" i="1" s="1"/>
  <c r="H49" i="1"/>
  <c r="G49" i="1"/>
  <c r="D49" i="1"/>
  <c r="B49" i="1"/>
  <c r="E49" i="1" s="1"/>
  <c r="I49" i="1" l="1"/>
  <c r="J49" i="1" s="1"/>
  <c r="H48" i="1"/>
  <c r="G48" i="1"/>
  <c r="I48" i="1" s="1"/>
  <c r="D48" i="1"/>
  <c r="B48" i="1"/>
  <c r="E48" i="1" l="1"/>
  <c r="J48" i="1" s="1"/>
  <c r="C66" i="1" l="1"/>
  <c r="H47" i="1"/>
  <c r="G47" i="1"/>
  <c r="D47" i="1"/>
  <c r="B47" i="1"/>
  <c r="M61" i="1"/>
  <c r="H46" i="1"/>
  <c r="G46" i="1"/>
  <c r="B46" i="1"/>
  <c r="D46" i="1"/>
  <c r="G44" i="1"/>
  <c r="I45" i="1"/>
  <c r="E45" i="1"/>
  <c r="H44" i="1"/>
  <c r="D44" i="1"/>
  <c r="B44" i="1"/>
  <c r="D43" i="1"/>
  <c r="B43" i="1"/>
  <c r="H43" i="1"/>
  <c r="E47" i="1" l="1"/>
  <c r="E46" i="1"/>
  <c r="I47" i="1"/>
  <c r="I46" i="1"/>
  <c r="I44" i="1"/>
  <c r="J45" i="1"/>
  <c r="E44" i="1"/>
  <c r="J46" i="1" l="1"/>
  <c r="J47" i="1"/>
  <c r="J44" i="1"/>
  <c r="H42" i="1"/>
  <c r="G43" i="1"/>
  <c r="T61" i="1"/>
  <c r="M63" i="1"/>
  <c r="I42" i="1" l="1"/>
  <c r="E42" i="1"/>
  <c r="I43" i="1"/>
  <c r="E43" i="1"/>
  <c r="J42" i="1" l="1"/>
  <c r="J43" i="1"/>
  <c r="H41" i="1" l="1"/>
  <c r="I41" i="1" s="1"/>
  <c r="H40" i="1"/>
  <c r="H39" i="1"/>
  <c r="H38" i="1"/>
  <c r="H37" i="1"/>
  <c r="H36" i="1"/>
  <c r="H35" i="1"/>
  <c r="H34" i="1"/>
  <c r="H33" i="1"/>
  <c r="H32" i="1"/>
  <c r="H31" i="1"/>
  <c r="E41" i="1"/>
  <c r="J41" i="1" l="1"/>
  <c r="I40" i="1" l="1"/>
  <c r="E40" i="1"/>
  <c r="J40" i="1" l="1"/>
  <c r="I39" i="1"/>
  <c r="E39" i="1"/>
  <c r="J39" i="1" l="1"/>
  <c r="I38" i="1" l="1"/>
  <c r="E38" i="1"/>
  <c r="T65" i="1" s="1"/>
  <c r="J38" i="1" l="1"/>
  <c r="I37" i="1"/>
  <c r="E37" i="1"/>
  <c r="I36" i="1"/>
  <c r="E36" i="1"/>
  <c r="I35" i="1"/>
  <c r="E35" i="1"/>
  <c r="E34" i="1"/>
  <c r="E33" i="1"/>
  <c r="I34" i="1"/>
  <c r="I33" i="1"/>
  <c r="J34" i="1" l="1"/>
  <c r="J35" i="1"/>
  <c r="J37" i="1"/>
  <c r="J33" i="1"/>
  <c r="J36" i="1"/>
  <c r="I6" i="1"/>
  <c r="I5" i="1"/>
  <c r="I4" i="1"/>
  <c r="I3" i="1"/>
  <c r="I2" i="1"/>
  <c r="I32" i="1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4" i="1"/>
  <c r="J4" i="1" s="1"/>
  <c r="E20" i="1"/>
  <c r="E23" i="1"/>
  <c r="E24" i="1"/>
  <c r="E25" i="1"/>
  <c r="E26" i="1"/>
  <c r="E27" i="1"/>
  <c r="E28" i="1"/>
  <c r="E30" i="1"/>
  <c r="E31" i="1"/>
  <c r="E32" i="1"/>
  <c r="E3" i="1"/>
  <c r="J3" i="1" s="1"/>
  <c r="E2" i="1"/>
  <c r="J2" i="1" s="1"/>
  <c r="J28" i="1" l="1"/>
  <c r="J26" i="1"/>
  <c r="J32" i="1"/>
  <c r="J27" i="1"/>
  <c r="J31" i="1"/>
  <c r="J23" i="1"/>
  <c r="J25" i="1"/>
  <c r="J24" i="1"/>
  <c r="J20" i="1"/>
  <c r="J30" i="1"/>
  <c r="D29" i="1"/>
  <c r="E29" i="1" s="1"/>
  <c r="J29" i="1" s="1"/>
  <c r="W21" i="1"/>
  <c r="W61" i="1" s="1"/>
  <c r="J61" i="1" l="1"/>
  <c r="T63" i="1"/>
  <c r="T66" i="1" s="1"/>
  <c r="T67" i="1" s="1"/>
  <c r="W63" i="1" l="1"/>
  <c r="P62" i="1" l="1"/>
  <c r="P63" i="1" s="1"/>
  <c r="P66" i="1" s="1"/>
  <c r="AC37" i="1"/>
  <c r="AC32" i="1" l="1"/>
  <c r="D22" i="1"/>
  <c r="E22" i="1" s="1"/>
  <c r="J22" i="1" s="1"/>
  <c r="AC30" i="1" l="1"/>
  <c r="D21" i="1"/>
  <c r="E21" i="1" s="1"/>
  <c r="J21" i="1" s="1"/>
  <c r="AC27" i="1" l="1"/>
  <c r="AC34" i="1" l="1"/>
  <c r="Z1" i="1" l="1"/>
  <c r="Z20" i="1" l="1"/>
  <c r="D19" i="1"/>
  <c r="E19" i="1" s="1"/>
  <c r="J19" i="1" s="1"/>
  <c r="Z17" i="1" l="1"/>
  <c r="D18" i="1"/>
  <c r="E18" i="1" s="1"/>
  <c r="J18" i="1" s="1"/>
  <c r="D16" i="1" l="1"/>
  <c r="E16" i="1" s="1"/>
  <c r="J16" i="1" s="1"/>
  <c r="AC22" i="1" l="1"/>
  <c r="D17" i="1"/>
  <c r="E17" i="1" s="1"/>
  <c r="J17" i="1" s="1"/>
  <c r="AC20" i="1" l="1"/>
  <c r="AC18" i="1" l="1"/>
  <c r="AC23" i="1" s="1"/>
  <c r="AC24" i="1" s="1"/>
  <c r="D15" i="1"/>
  <c r="E15" i="1" s="1"/>
  <c r="J15" i="1" s="1"/>
  <c r="D14" i="1" l="1"/>
  <c r="E14" i="1" s="1"/>
  <c r="J14" i="1" s="1"/>
  <c r="D13" i="1"/>
  <c r="E13" i="1" s="1"/>
  <c r="J13" i="1" s="1"/>
  <c r="AC8" i="1"/>
  <c r="AC10" i="1" l="1"/>
  <c r="AI9" i="1"/>
  <c r="D10" i="1" l="1"/>
  <c r="E10" i="1" s="1"/>
  <c r="J10" i="1" s="1"/>
  <c r="D12" i="1"/>
  <c r="E12" i="1" s="1"/>
  <c r="J12" i="1" s="1"/>
  <c r="AC2" i="1" l="1"/>
  <c r="AC6" i="1"/>
  <c r="AC4" i="1" l="1"/>
  <c r="AC12" i="1" s="1"/>
  <c r="AC13" i="1" s="1"/>
  <c r="D11" i="1"/>
  <c r="E11" i="1" s="1"/>
  <c r="J11" i="1" s="1"/>
  <c r="D9" i="1" l="1"/>
  <c r="E9" i="1" s="1"/>
  <c r="J9" i="1" s="1"/>
  <c r="D8" i="1"/>
  <c r="E8" i="1" s="1"/>
  <c r="J8" i="1" s="1"/>
  <c r="D7" i="1"/>
  <c r="E7" i="1" s="1"/>
  <c r="J7" i="1" s="1"/>
  <c r="D6" i="1"/>
  <c r="E6" i="1" s="1"/>
  <c r="J6" i="1" s="1"/>
  <c r="D5" i="1"/>
  <c r="E5" i="1" s="1"/>
  <c r="J5" i="1" s="1"/>
  <c r="Z5" i="1"/>
  <c r="Z4" i="1"/>
  <c r="Z3" i="1"/>
  <c r="Z2" i="1"/>
  <c r="AF6" i="1"/>
  <c r="AF5" i="1"/>
  <c r="AF4" i="1"/>
  <c r="AF2" i="1"/>
  <c r="AL6" i="1"/>
  <c r="AL5" i="1"/>
  <c r="Z27" i="1" l="1"/>
  <c r="Z28" i="1" s="1"/>
  <c r="AL7" i="1"/>
  <c r="AF7" i="1"/>
  <c r="AF8" i="1" s="1"/>
</calcChain>
</file>

<file path=xl/sharedStrings.xml><?xml version="1.0" encoding="utf-8"?>
<sst xmlns="http://schemas.openxmlformats.org/spreadsheetml/2006/main" count="241" uniqueCount="215">
  <si>
    <t>Tommy's Taxi Invoices</t>
  </si>
  <si>
    <t>JFK Invoices</t>
  </si>
  <si>
    <t>Uber Invoices</t>
  </si>
  <si>
    <t>MAPC Grant 1</t>
  </si>
  <si>
    <t>MAPC Grant 2 (Part 1)</t>
  </si>
  <si>
    <t>Meadow Walk Mitigation</t>
  </si>
  <si>
    <t>Coolidge Mitigation ($10,000)</t>
  </si>
  <si>
    <t>JFK May-21</t>
  </si>
  <si>
    <t>Tommy's May-21</t>
  </si>
  <si>
    <t>Tommy's Jun-21</t>
  </si>
  <si>
    <t>JFK Jul-21</t>
  </si>
  <si>
    <t>Tommy's Jul-21</t>
  </si>
  <si>
    <t>$20,000 voted at SB on 3/17/20</t>
  </si>
  <si>
    <t>$5,000 voted at SB on 3/2/21</t>
  </si>
  <si>
    <t>$10,000 voted at Transportation on 2/5/21</t>
  </si>
  <si>
    <t>JFK Jun-21</t>
  </si>
  <si>
    <t>JFK Aug-21</t>
  </si>
  <si>
    <t>Tommy's Aug-21</t>
  </si>
  <si>
    <t>JFK Sep-21</t>
  </si>
  <si>
    <t>Tommy's Sep-21</t>
  </si>
  <si>
    <t>JFK Oct-21</t>
  </si>
  <si>
    <t>see above</t>
  </si>
  <si>
    <t>BayPath Grant 2 ($2,000)</t>
  </si>
  <si>
    <t>BayPath Grant 1 ($3,000)</t>
  </si>
  <si>
    <t>MAPC Grant 2 (Part 2)</t>
  </si>
  <si>
    <t>JFK Nov-21</t>
  </si>
  <si>
    <t>Tommy's Oct-21</t>
  </si>
  <si>
    <t>Tommy's Nov-21</t>
  </si>
  <si>
    <t>JFK Dec-21</t>
  </si>
  <si>
    <t>Tommy's Dec-21</t>
  </si>
  <si>
    <t>Rollover from Part 1</t>
  </si>
  <si>
    <t>$35,000 voted at SB on 11/16/21</t>
  </si>
  <si>
    <t>**Only $46,366 remaining per email from Christine on 11/15/21***</t>
  </si>
  <si>
    <t>JFK Dec-21 Rollover</t>
  </si>
  <si>
    <t>Uber Jan-22</t>
  </si>
  <si>
    <t>JFK Jan-22</t>
  </si>
  <si>
    <t>Tommy's Jan-22</t>
  </si>
  <si>
    <t>Uber Feb-22</t>
  </si>
  <si>
    <t>JFK Feb-22</t>
  </si>
  <si>
    <t>Tommy's Feb-22</t>
  </si>
  <si>
    <t>Uber Mar-22</t>
  </si>
  <si>
    <t>JFK Mar-22</t>
  </si>
  <si>
    <t>Tommy's Mar-22</t>
  </si>
  <si>
    <t>Uber Apr-22</t>
  </si>
  <si>
    <t>JFK Apr-22</t>
  </si>
  <si>
    <t>Tommy's Apr-22</t>
  </si>
  <si>
    <t>Uber May-22</t>
  </si>
  <si>
    <t>JFK May-22</t>
  </si>
  <si>
    <t>Tommy's May-22</t>
  </si>
  <si>
    <t>Uber Jun-22</t>
  </si>
  <si>
    <t>JFK Jun-22</t>
  </si>
  <si>
    <t>Tommy's Jun-22</t>
  </si>
  <si>
    <t>NOTES:</t>
  </si>
  <si>
    <t>Dispatch vote: 4/9/2021</t>
  </si>
  <si>
    <t>$4,950 for year, $3,267 prorated 2021 (May-Dec 2021)</t>
  </si>
  <si>
    <t>MAPC Grant 2 Additional</t>
  </si>
  <si>
    <t>$11,366 voted at SB on 3/22/22 (No further Funds Remaining)</t>
  </si>
  <si>
    <t>2022 ATM - Article 14</t>
  </si>
  <si>
    <t>Dispatch Charges</t>
  </si>
  <si>
    <t>July 21 - June 22</t>
  </si>
  <si>
    <t>May 21 - June 21</t>
  </si>
  <si>
    <t>July 21 - June 22 Dispatch</t>
  </si>
  <si>
    <t>(+$1,250 for dispatch May 2021 - June 2022)</t>
  </si>
  <si>
    <t>(+1,666 for dispatch May 2021 - June 2022)</t>
  </si>
  <si>
    <t>Stow Return to MassDevelopment</t>
  </si>
  <si>
    <t>Total Return Amount to MassDevelopment</t>
  </si>
  <si>
    <t>Sudbury Return to MassDevelopment ($2,510.30)</t>
  </si>
  <si>
    <t>Uber Jul-22</t>
  </si>
  <si>
    <t>Uber Jul-22 Rollover</t>
  </si>
  <si>
    <t>JFK Jul-22</t>
  </si>
  <si>
    <t>Tommy's Jul-22</t>
  </si>
  <si>
    <t>JFK Aug-22</t>
  </si>
  <si>
    <t>Tommy's Aug-22</t>
  </si>
  <si>
    <t>Uber Aug-22</t>
  </si>
  <si>
    <t>Uber Sep-22</t>
  </si>
  <si>
    <t>JFK Sep-22</t>
  </si>
  <si>
    <t>Tommy's Sep-22</t>
  </si>
  <si>
    <t>Uber Oct-22</t>
  </si>
  <si>
    <t>JFK Oct-22</t>
  </si>
  <si>
    <t>Tommy's Oct-22</t>
  </si>
  <si>
    <t>Uber Nov-22</t>
  </si>
  <si>
    <t>JFK Nov-22</t>
  </si>
  <si>
    <t>Tommy's Nov-22</t>
  </si>
  <si>
    <t>Uber Dec-22</t>
  </si>
  <si>
    <t>JFK Dec-22</t>
  </si>
  <si>
    <t>Tommy's Dec-22</t>
  </si>
  <si>
    <t>Emergency Fund: $1,000 vote on 9/7/22</t>
  </si>
  <si>
    <t>MassDevelopment</t>
  </si>
  <si>
    <t>Uber Jan-23</t>
  </si>
  <si>
    <t>Uber Feb-23</t>
  </si>
  <si>
    <t>Uber Mar-23</t>
  </si>
  <si>
    <t>JFK Jan-23</t>
  </si>
  <si>
    <t>Tommy's Jan-23</t>
  </si>
  <si>
    <t>JFK Feb-23</t>
  </si>
  <si>
    <t>Tommy's Feb-23</t>
  </si>
  <si>
    <t>JFK Mar-23</t>
  </si>
  <si>
    <t>Tommy's Mar-23</t>
  </si>
  <si>
    <t>JFK Apr-23</t>
  </si>
  <si>
    <t>Tommy's Apr-23</t>
  </si>
  <si>
    <t>JFK May-23</t>
  </si>
  <si>
    <t>Tommy's May-23</t>
  </si>
  <si>
    <t>Uber Apr-23</t>
  </si>
  <si>
    <t>Uber May-23</t>
  </si>
  <si>
    <t>Annex Invoices</t>
  </si>
  <si>
    <t>Annex Feb-23</t>
  </si>
  <si>
    <t>Annex Mar-23</t>
  </si>
  <si>
    <t>Annex Apr-23</t>
  </si>
  <si>
    <t>Annex May-23</t>
  </si>
  <si>
    <t>REMAINING</t>
  </si>
  <si>
    <t>Avg taxi, last 6 months</t>
  </si>
  <si>
    <t># months funding remaining</t>
  </si>
  <si>
    <t>Estimated $0 balance</t>
  </si>
  <si>
    <t>Total Taxi</t>
  </si>
  <si>
    <t>March 2021 Go Sudbury Taxi suspended except for COVID vaccination rides</t>
  </si>
  <si>
    <t>July 2022 = We had all riders re-subscribe; changed from 50+ to 60+</t>
  </si>
  <si>
    <t>Feb 1 2023 = Ride limits reduced to 4 Taxi and 6 Uber / mo</t>
  </si>
  <si>
    <t>Feb 2023  Annex pilot began, first charges rec'd</t>
  </si>
  <si>
    <t>Uber + Annex</t>
  </si>
  <si>
    <t>Taxi</t>
  </si>
  <si>
    <t>Uber</t>
  </si>
  <si>
    <t>Total</t>
  </si>
  <si>
    <t>Mar 2023 - Uber rides increased to 10/mo, taxi remains 6/mo</t>
  </si>
  <si>
    <t>TOTAL SPEND</t>
  </si>
  <si>
    <t>JFK Jun-23</t>
  </si>
  <si>
    <t>Tommy's Jun-23</t>
  </si>
  <si>
    <t>Annex Jun-23</t>
  </si>
  <si>
    <t>Uber Jun-23</t>
  </si>
  <si>
    <t>July 22 - June 23 Dispatch</t>
  </si>
  <si>
    <t>2023 ATM - Article 14</t>
  </si>
  <si>
    <t>July 22 - June 23</t>
  </si>
  <si>
    <t>Uber -July-23</t>
  </si>
  <si>
    <t>Annex July-23</t>
  </si>
  <si>
    <t>July 2023 - Began using ATM2023/FY2024 funding for Uber changes</t>
  </si>
  <si>
    <t>Tommy's July -23</t>
  </si>
  <si>
    <t>JFK July-23</t>
  </si>
  <si>
    <t>Tommy's August-23</t>
  </si>
  <si>
    <t>JFK August-23</t>
  </si>
  <si>
    <t>Annex August-23</t>
  </si>
  <si>
    <t>Uber - Aug-23</t>
  </si>
  <si>
    <t>Annex - Aug-23</t>
  </si>
  <si>
    <t>Uber Sept-23</t>
  </si>
  <si>
    <t>Annex Sept-23</t>
  </si>
  <si>
    <t>Tommy's Sept-23</t>
  </si>
  <si>
    <t>JFK Sept-23</t>
  </si>
  <si>
    <t>Tommy's Oct-23</t>
  </si>
  <si>
    <t>JFK Oct-23</t>
  </si>
  <si>
    <t>Annex Oct-23</t>
  </si>
  <si>
    <t>Uber Oct-23</t>
  </si>
  <si>
    <t>Uber Nov-23</t>
  </si>
  <si>
    <t>Annex Nov-23</t>
  </si>
  <si>
    <t>Tommy's Nov-23</t>
  </si>
  <si>
    <t>JFK Nov-23</t>
  </si>
  <si>
    <t># signed up in both programs</t>
  </si>
  <si>
    <t># unique individuals enrolled</t>
  </si>
  <si>
    <t>Uber Dec-23</t>
  </si>
  <si>
    <t>Annex  Dec-23</t>
  </si>
  <si>
    <t>Tommy's Dec-23</t>
  </si>
  <si>
    <t>JFK Dec-23</t>
  </si>
  <si>
    <t>Annex Dec-23</t>
  </si>
  <si>
    <t>Uber Jan-24</t>
  </si>
  <si>
    <t>Annex Jan-24</t>
  </si>
  <si>
    <t>Tommy's-Jan24</t>
  </si>
  <si>
    <t>JFK-Jan24</t>
  </si>
  <si>
    <t>Sept 2023 - Increased ride caps take effect (10 Uber, 10 Taxi)</t>
  </si>
  <si>
    <t>Go Sudbury! Earmark Funds #1</t>
  </si>
  <si>
    <t>Uber Feb-24</t>
  </si>
  <si>
    <t>Annex Feb-24</t>
  </si>
  <si>
    <t>Tommy's Feb24</t>
  </si>
  <si>
    <t>Tommy's-Feb24</t>
  </si>
  <si>
    <t>JFK-Feb24</t>
  </si>
  <si>
    <t>Town of Acton Dispatch FY24</t>
  </si>
  <si>
    <t>JFK-Feb 24</t>
  </si>
  <si>
    <t>JFK Mar-24</t>
  </si>
  <si>
    <t>Tommy's Mar-24</t>
  </si>
  <si>
    <t>Annex Mar-24</t>
  </si>
  <si>
    <t>JFK Apr-24</t>
  </si>
  <si>
    <t>Tommy's Apr-24</t>
  </si>
  <si>
    <t>Annex Apr-24</t>
  </si>
  <si>
    <t>JFK May-24</t>
  </si>
  <si>
    <t>Tommy's May-24</t>
  </si>
  <si>
    <t>Annex May-24</t>
  </si>
  <si>
    <t>Uber Mar-24</t>
  </si>
  <si>
    <t>Uber  Apr-24</t>
  </si>
  <si>
    <t>Feb 2024 - Began using State Earmark funds</t>
  </si>
  <si>
    <t>Uber May-24</t>
  </si>
  <si>
    <r>
      <t>Avg Uber/Annex/</t>
    </r>
    <r>
      <rPr>
        <b/>
        <u/>
        <sz val="11"/>
        <color theme="1"/>
        <rFont val="Calibri"/>
        <family val="2"/>
        <scheme val="minor"/>
      </rPr>
      <t>Taxi</t>
    </r>
    <r>
      <rPr>
        <b/>
        <sz val="11"/>
        <color theme="1"/>
        <rFont val="Calibri"/>
        <family val="2"/>
        <scheme val="minor"/>
      </rPr>
      <t>, last 6 months</t>
    </r>
  </si>
  <si>
    <t>JFK June-24</t>
  </si>
  <si>
    <t>Tommy's June-24</t>
  </si>
  <si>
    <t>Uber Jun-24</t>
  </si>
  <si>
    <t>Annex Jun-24</t>
  </si>
  <si>
    <t>JFK-July 24</t>
  </si>
  <si>
    <t>Tommy's-July 24</t>
  </si>
  <si>
    <t>Uber-July 24</t>
  </si>
  <si>
    <t>Annex-July 24</t>
  </si>
  <si>
    <t>Sept 2024  Ride caps reduced to 6/mo taxi and 4/mo uber</t>
  </si>
  <si>
    <t>JFK-August 24</t>
  </si>
  <si>
    <t>Tommy's-August 24</t>
  </si>
  <si>
    <t>Uber-August 24</t>
  </si>
  <si>
    <t>Annex-August 24</t>
  </si>
  <si>
    <t>JFK-September 24</t>
  </si>
  <si>
    <t>Uber-September 24</t>
  </si>
  <si>
    <t xml:space="preserve"> Annex Sept 24</t>
  </si>
  <si>
    <t>JFK-Jan-24</t>
  </si>
  <si>
    <t>Tommy's Sep-24</t>
  </si>
  <si>
    <t>Plus $31,250 2nd half of earmark + 2022 ATM$ + MassDev</t>
  </si>
  <si>
    <t>JFK-Oct 24</t>
  </si>
  <si>
    <t>Tommy's-Oct 24</t>
  </si>
  <si>
    <t>Uber-Oct 24</t>
  </si>
  <si>
    <t>Annex-Oct 24</t>
  </si>
  <si>
    <t>Last 12 month total spend thru Oct 2024</t>
  </si>
  <si>
    <t>Average monthly spend over last 12 months thru Oct2024</t>
  </si>
  <si>
    <t>Enrollment through 12/02/2024</t>
  </si>
  <si>
    <t>(7 in Oct, 6 in Nov)</t>
  </si>
  <si>
    <t>(11 in Oct, 12 in Nov, 1 so far in Dec)</t>
  </si>
  <si>
    <t>Nov 2024  Ride caps reduced to 4/mo 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</si>
</sst>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164" fontId="0" fillId="0" borderId="0" xfId="0" applyNumberFormat="1"/>
    <xf numFmtId="165" fontId="3" fillId="0" borderId="0" xfId="0" applyNumberFormat="1" applyFont="1"/>
    <xf numFmtId="5" fontId="3" fillId="0" borderId="0" xfId="1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/>
    <xf numFmtId="0" fontId="5" fillId="0" borderId="0" xfId="0" applyFont="1"/>
    <xf numFmtId="7" fontId="0" fillId="0" borderId="0" xfId="0" applyNumberFormat="1"/>
    <xf numFmtId="0" fontId="4" fillId="0" borderId="0" xfId="0" applyFont="1"/>
    <xf numFmtId="4" fontId="4" fillId="0" borderId="0" xfId="0" applyNumberFormat="1" applyFont="1"/>
    <xf numFmtId="4" fontId="6" fillId="0" borderId="0" xfId="0" applyNumberFormat="1" applyFont="1"/>
    <xf numFmtId="165" fontId="4" fillId="0" borderId="0" xfId="0" applyNumberFormat="1" applyFont="1"/>
    <xf numFmtId="8" fontId="8" fillId="0" borderId="0" xfId="0" applyNumberFormat="1" applyFont="1" applyAlignment="1">
      <alignment horizontal="right"/>
    </xf>
    <xf numFmtId="6" fontId="3" fillId="0" borderId="0" xfId="0" applyNumberFormat="1" applyFont="1"/>
    <xf numFmtId="164" fontId="0" fillId="0" borderId="0" xfId="0" applyNumberFormat="1" applyAlignment="1">
      <alignment horizontal="left"/>
    </xf>
    <xf numFmtId="164" fontId="3" fillId="0" borderId="0" xfId="0" applyNumberFormat="1" applyFont="1"/>
    <xf numFmtId="164" fontId="0" fillId="2" borderId="0" xfId="0" applyNumberFormat="1" applyFill="1"/>
    <xf numFmtId="0" fontId="3" fillId="0" borderId="0" xfId="0" applyFont="1" applyAlignment="1">
      <alignment horizontal="center"/>
    </xf>
    <xf numFmtId="0" fontId="0" fillId="2" borderId="0" xfId="0" applyFill="1"/>
    <xf numFmtId="17" fontId="5" fillId="0" borderId="0" xfId="0" applyNumberFormat="1" applyFont="1"/>
    <xf numFmtId="164" fontId="0" fillId="2" borderId="0" xfId="0" applyNumberFormat="1" applyFill="1" applyAlignment="1">
      <alignment horizontal="right"/>
    </xf>
    <xf numFmtId="164" fontId="5" fillId="2" borderId="0" xfId="0" applyNumberFormat="1" applyFont="1" applyFill="1"/>
    <xf numFmtId="164" fontId="5" fillId="0" borderId="0" xfId="0" applyNumberFormat="1" applyFont="1"/>
    <xf numFmtId="0" fontId="3" fillId="3" borderId="0" xfId="0" applyFont="1" applyFill="1"/>
    <xf numFmtId="6" fontId="3" fillId="3" borderId="0" xfId="0" applyNumberFormat="1" applyFont="1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164" fontId="2" fillId="3" borderId="0" xfId="0" applyNumberFormat="1" applyFont="1" applyFill="1"/>
    <xf numFmtId="0" fontId="5" fillId="3" borderId="0" xfId="0" applyFont="1" applyFill="1" applyAlignment="1">
      <alignment horizontal="right"/>
    </xf>
    <xf numFmtId="0" fontId="0" fillId="3" borderId="0" xfId="0" applyFill="1"/>
    <xf numFmtId="0" fontId="5" fillId="3" borderId="0" xfId="0" applyFont="1" applyFill="1"/>
    <xf numFmtId="5" fontId="3" fillId="3" borderId="0" xfId="1" applyNumberFormat="1" applyFont="1" applyFill="1" applyAlignment="1">
      <alignment horizontal="right"/>
    </xf>
    <xf numFmtId="17" fontId="0" fillId="3" borderId="0" xfId="0" applyNumberFormat="1" applyFill="1"/>
    <xf numFmtId="164" fontId="0" fillId="3" borderId="1" xfId="0" applyNumberFormat="1" applyFill="1" applyBorder="1"/>
    <xf numFmtId="8" fontId="2" fillId="3" borderId="0" xfId="0" applyNumberFormat="1" applyFont="1" applyFill="1"/>
    <xf numFmtId="165" fontId="3" fillId="3" borderId="0" xfId="0" applyNumberFormat="1" applyFont="1" applyFill="1"/>
    <xf numFmtId="164" fontId="4" fillId="3" borderId="0" xfId="0" applyNumberFormat="1" applyFont="1" applyFill="1"/>
    <xf numFmtId="164" fontId="7" fillId="3" borderId="0" xfId="0" applyNumberFormat="1" applyFont="1" applyFill="1"/>
    <xf numFmtId="164" fontId="2" fillId="3" borderId="1" xfId="0" applyNumberFormat="1" applyFont="1" applyFill="1" applyBorder="1"/>
    <xf numFmtId="6" fontId="2" fillId="3" borderId="0" xfId="0" applyNumberFormat="1" applyFont="1" applyFill="1"/>
    <xf numFmtId="164" fontId="0" fillId="3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164" fontId="6" fillId="2" borderId="0" xfId="0" applyNumberFormat="1" applyFont="1" applyFill="1"/>
    <xf numFmtId="0" fontId="5" fillId="2" borderId="0" xfId="0" applyFont="1" applyFill="1"/>
    <xf numFmtId="4" fontId="0" fillId="0" borderId="0" xfId="0" applyNumberFormat="1"/>
    <xf numFmtId="164" fontId="0" fillId="4" borderId="0" xfId="0" applyNumberFormat="1" applyFill="1"/>
    <xf numFmtId="164" fontId="5" fillId="3" borderId="1" xfId="0" applyNumberFormat="1" applyFont="1" applyFill="1" applyBorder="1"/>
    <xf numFmtId="164" fontId="5" fillId="3" borderId="0" xfId="0" applyNumberFormat="1" applyFont="1" applyFill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7" fontId="5" fillId="4" borderId="0" xfId="0" applyNumberFormat="1" applyFont="1" applyFill="1"/>
    <xf numFmtId="164" fontId="5" fillId="4" borderId="0" xfId="0" applyNumberFormat="1" applyFont="1" applyFill="1"/>
    <xf numFmtId="0" fontId="0" fillId="4" borderId="0" xfId="0" applyFill="1"/>
    <xf numFmtId="17" fontId="0" fillId="4" borderId="0" xfId="0" applyNumberFormat="1" applyFill="1"/>
    <xf numFmtId="164" fontId="3" fillId="0" borderId="0" xfId="0" applyNumberFormat="1" applyFont="1" applyAlignment="1">
      <alignment horizontal="center"/>
    </xf>
    <xf numFmtId="164" fontId="9" fillId="0" borderId="0" xfId="0" applyNumberFormat="1" applyFont="1"/>
    <xf numFmtId="164" fontId="0" fillId="3" borderId="2" xfId="0" applyNumberFormat="1" applyFill="1" applyBorder="1"/>
    <xf numFmtId="164" fontId="0" fillId="3" borderId="0" xfId="0" applyNumberFormat="1" applyFill="1" applyAlignment="1">
      <alignment horizontal="right" wrapText="1"/>
    </xf>
    <xf numFmtId="166" fontId="0" fillId="3" borderId="0" xfId="0" applyNumberFormat="1" applyFill="1"/>
    <xf numFmtId="17" fontId="5" fillId="2" borderId="0" xfId="0" applyNumberFormat="1" applyFont="1" applyFill="1"/>
    <xf numFmtId="4" fontId="0" fillId="2" borderId="0" xfId="0" applyNumberFormat="1" applyFill="1"/>
    <xf numFmtId="14" fontId="0" fillId="0" borderId="0" xfId="0" applyNumberFormat="1"/>
    <xf numFmtId="0" fontId="0" fillId="2" borderId="0" xfId="0" applyFill="1" applyAlignment="1">
      <alignment horizontal="right"/>
    </xf>
    <xf numFmtId="166" fontId="0" fillId="2" borderId="0" xfId="0" applyNumberFormat="1" applyFill="1"/>
    <xf numFmtId="17" fontId="0" fillId="2" borderId="0" xfId="0" applyNumberFormat="1" applyFill="1"/>
    <xf numFmtId="0" fontId="2" fillId="0" borderId="0" xfId="0" applyFont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 applyAlignment="1">
      <alignment horizontal="right"/>
    </xf>
    <xf numFmtId="164" fontId="0" fillId="5" borderId="3" xfId="1" applyNumberFormat="1" applyFont="1" applyFill="1" applyBorder="1"/>
    <xf numFmtId="164" fontId="4" fillId="2" borderId="0" xfId="0" applyNumberFormat="1" applyFont="1" applyFill="1"/>
    <xf numFmtId="164" fontId="6" fillId="3" borderId="0" xfId="0" applyNumberFormat="1" applyFont="1" applyFill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Spend</a:t>
            </a:r>
          </a:p>
        </c:rich>
      </c:tx>
      <c:layout>
        <c:manualLayout>
          <c:xMode val="edge"/>
          <c:yMode val="edge"/>
          <c:x val="0.42451831914930477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986482067365088E-2"/>
          <c:y val="9.9037481916998057E-2"/>
          <c:w val="0.87436241175564722"/>
          <c:h val="0.78914214149369288"/>
        </c:manualLayout>
      </c:layout>
      <c:lineChart>
        <c:grouping val="standard"/>
        <c:varyColors val="0"/>
        <c:ser>
          <c:idx val="1"/>
          <c:order val="0"/>
          <c:tx>
            <c:strRef>
              <c:f>Sheet1!$E$1</c:f>
              <c:strCache>
                <c:ptCount val="1"/>
                <c:pt idx="0">
                  <c:v>Total Taxi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Sheet1!$A$2:$A$51</c:f>
              <c:numCache>
                <c:formatCode>mmm\-yy</c:formatCode>
                <c:ptCount val="50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  <c:pt idx="49">
                  <c:v>45566</c:v>
                </c:pt>
              </c:numCache>
            </c:numRef>
          </c:cat>
          <c:val>
            <c:numRef>
              <c:f>Sheet1!$E$2:$E$51</c:f>
              <c:numCache>
                <c:formatCode>"$"#,##0.00</c:formatCode>
                <c:ptCount val="50"/>
                <c:pt idx="0">
                  <c:v>2261.5</c:v>
                </c:pt>
                <c:pt idx="1">
                  <c:v>6810.2999999999993</c:v>
                </c:pt>
                <c:pt idx="2">
                  <c:v>6119.6</c:v>
                </c:pt>
                <c:pt idx="3">
                  <c:v>11144.6</c:v>
                </c:pt>
                <c:pt idx="4">
                  <c:v>10971.5</c:v>
                </c:pt>
                <c:pt idx="5">
                  <c:v>6218</c:v>
                </c:pt>
                <c:pt idx="6">
                  <c:v>406.5</c:v>
                </c:pt>
                <c:pt idx="7">
                  <c:v>714</c:v>
                </c:pt>
                <c:pt idx="8">
                  <c:v>2043</c:v>
                </c:pt>
                <c:pt idx="9">
                  <c:v>5170.3</c:v>
                </c:pt>
                <c:pt idx="10">
                  <c:v>3724.5</c:v>
                </c:pt>
                <c:pt idx="11">
                  <c:v>4617.5</c:v>
                </c:pt>
                <c:pt idx="12">
                  <c:v>5056.5</c:v>
                </c:pt>
                <c:pt idx="13">
                  <c:v>5300.3</c:v>
                </c:pt>
                <c:pt idx="14">
                  <c:v>4323.3</c:v>
                </c:pt>
                <c:pt idx="15">
                  <c:v>5040</c:v>
                </c:pt>
                <c:pt idx="16">
                  <c:v>4973.8999999999996</c:v>
                </c:pt>
                <c:pt idx="17">
                  <c:v>7755.5</c:v>
                </c:pt>
                <c:pt idx="18">
                  <c:v>7691.3</c:v>
                </c:pt>
                <c:pt idx="19">
                  <c:v>6230.5</c:v>
                </c:pt>
                <c:pt idx="20">
                  <c:v>6246.1</c:v>
                </c:pt>
                <c:pt idx="21">
                  <c:v>6277</c:v>
                </c:pt>
                <c:pt idx="22">
                  <c:v>4549.3999999999996</c:v>
                </c:pt>
                <c:pt idx="23">
                  <c:v>6995.95</c:v>
                </c:pt>
                <c:pt idx="24">
                  <c:v>8047.45</c:v>
                </c:pt>
                <c:pt idx="25">
                  <c:v>8576</c:v>
                </c:pt>
                <c:pt idx="26">
                  <c:v>7833.65</c:v>
                </c:pt>
                <c:pt idx="27">
                  <c:v>4565.3</c:v>
                </c:pt>
                <c:pt idx="28">
                  <c:v>5856.35</c:v>
                </c:pt>
                <c:pt idx="29">
                  <c:v>3438</c:v>
                </c:pt>
                <c:pt idx="30">
                  <c:v>3234.3</c:v>
                </c:pt>
                <c:pt idx="31">
                  <c:v>5977.1</c:v>
                </c:pt>
                <c:pt idx="32">
                  <c:v>6804.05</c:v>
                </c:pt>
                <c:pt idx="33">
                  <c:v>5261.9</c:v>
                </c:pt>
                <c:pt idx="34">
                  <c:v>3569.1</c:v>
                </c:pt>
                <c:pt idx="35">
                  <c:v>6346.55</c:v>
                </c:pt>
                <c:pt idx="36">
                  <c:v>8508.9500000000007</c:v>
                </c:pt>
                <c:pt idx="37">
                  <c:v>6453.25</c:v>
                </c:pt>
                <c:pt idx="38">
                  <c:v>6564.5</c:v>
                </c:pt>
                <c:pt idx="39">
                  <c:v>6480.95</c:v>
                </c:pt>
                <c:pt idx="40">
                  <c:v>5933.55</c:v>
                </c:pt>
                <c:pt idx="41">
                  <c:v>6153.45</c:v>
                </c:pt>
                <c:pt idx="42">
                  <c:v>11443.95</c:v>
                </c:pt>
                <c:pt idx="43">
                  <c:v>9903.6</c:v>
                </c:pt>
                <c:pt idx="44">
                  <c:v>8324.1</c:v>
                </c:pt>
                <c:pt idx="45">
                  <c:v>9428.9500000000007</c:v>
                </c:pt>
                <c:pt idx="46">
                  <c:v>11791.9</c:v>
                </c:pt>
                <c:pt idx="47">
                  <c:v>9587.85</c:v>
                </c:pt>
                <c:pt idx="48">
                  <c:v>9243.4500000000007</c:v>
                </c:pt>
                <c:pt idx="49">
                  <c:v>9171.85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0-4857-BDD0-2EF14FCC83DD}"/>
            </c:ext>
          </c:extLst>
        </c:ser>
        <c:ser>
          <c:idx val="0"/>
          <c:order val="1"/>
          <c:tx>
            <c:strRef>
              <c:f>Sheet1!$I$1</c:f>
              <c:strCache>
                <c:ptCount val="1"/>
                <c:pt idx="0">
                  <c:v>Uber + Annex</c:v>
                </c:pt>
              </c:strCache>
            </c:strRef>
          </c:tx>
          <c:spPr>
            <a:ln w="28575" cap="rnd">
              <a:solidFill>
                <a:schemeClr val="accent1"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Sheet1!$A$2:$A$51</c:f>
              <c:numCache>
                <c:formatCode>mmm\-yy</c:formatCode>
                <c:ptCount val="50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  <c:pt idx="49">
                  <c:v>45566</c:v>
                </c:pt>
              </c:numCache>
            </c:numRef>
          </c:cat>
          <c:val>
            <c:numRef>
              <c:f>Sheet1!$I$2:$I$51</c:f>
              <c:numCache>
                <c:formatCode>"$"#,##0.00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73.099999999999994</c:v>
                </c:pt>
                <c:pt idx="6">
                  <c:v>218.64</c:v>
                </c:pt>
                <c:pt idx="7">
                  <c:v>476.11</c:v>
                </c:pt>
                <c:pt idx="8">
                  <c:v>598.13</c:v>
                </c:pt>
                <c:pt idx="9">
                  <c:v>1618.72</c:v>
                </c:pt>
                <c:pt idx="10">
                  <c:v>2388.37</c:v>
                </c:pt>
                <c:pt idx="11">
                  <c:v>3017.75</c:v>
                </c:pt>
                <c:pt idx="12">
                  <c:v>3774.34</c:v>
                </c:pt>
                <c:pt idx="13">
                  <c:v>3492.27</c:v>
                </c:pt>
                <c:pt idx="14">
                  <c:v>2147.85</c:v>
                </c:pt>
                <c:pt idx="15">
                  <c:v>3032.66</c:v>
                </c:pt>
                <c:pt idx="16">
                  <c:v>2426.5300000000002</c:v>
                </c:pt>
                <c:pt idx="17">
                  <c:v>2872.53</c:v>
                </c:pt>
                <c:pt idx="18">
                  <c:v>4590.1099999999997</c:v>
                </c:pt>
                <c:pt idx="19">
                  <c:v>5282.77</c:v>
                </c:pt>
                <c:pt idx="20">
                  <c:v>6185.38</c:v>
                </c:pt>
                <c:pt idx="21">
                  <c:v>4243.07</c:v>
                </c:pt>
                <c:pt idx="22">
                  <c:v>4798.18</c:v>
                </c:pt>
                <c:pt idx="23">
                  <c:v>4578.6899999999996</c:v>
                </c:pt>
                <c:pt idx="24">
                  <c:v>3598.24</c:v>
                </c:pt>
                <c:pt idx="25">
                  <c:v>3921.32</c:v>
                </c:pt>
                <c:pt idx="26">
                  <c:v>3738.53</c:v>
                </c:pt>
                <c:pt idx="27">
                  <c:v>3419.72</c:v>
                </c:pt>
                <c:pt idx="28">
                  <c:v>2975.65</c:v>
                </c:pt>
                <c:pt idx="29">
                  <c:v>1724.7900000000002</c:v>
                </c:pt>
                <c:pt idx="30">
                  <c:v>3045.4300000000003</c:v>
                </c:pt>
                <c:pt idx="31">
                  <c:v>2303.5100000000002</c:v>
                </c:pt>
                <c:pt idx="32">
                  <c:v>2726.23</c:v>
                </c:pt>
                <c:pt idx="33">
                  <c:v>2766.79</c:v>
                </c:pt>
                <c:pt idx="34">
                  <c:v>2741.1800000000003</c:v>
                </c:pt>
                <c:pt idx="35">
                  <c:v>3235.79</c:v>
                </c:pt>
                <c:pt idx="36">
                  <c:v>3258.22</c:v>
                </c:pt>
                <c:pt idx="37">
                  <c:v>3843.71</c:v>
                </c:pt>
                <c:pt idx="38">
                  <c:v>3056.46</c:v>
                </c:pt>
                <c:pt idx="39">
                  <c:v>2203.66</c:v>
                </c:pt>
                <c:pt idx="40">
                  <c:v>2358.25</c:v>
                </c:pt>
                <c:pt idx="41">
                  <c:v>3064.52</c:v>
                </c:pt>
                <c:pt idx="42">
                  <c:v>3526.85</c:v>
                </c:pt>
                <c:pt idx="43">
                  <c:v>3860.13</c:v>
                </c:pt>
                <c:pt idx="44">
                  <c:v>4031.2700000000004</c:v>
                </c:pt>
                <c:pt idx="45">
                  <c:v>4954.6400000000003</c:v>
                </c:pt>
                <c:pt idx="46">
                  <c:v>3518.64</c:v>
                </c:pt>
                <c:pt idx="47">
                  <c:v>3674.45</c:v>
                </c:pt>
                <c:pt idx="48">
                  <c:v>3214.92</c:v>
                </c:pt>
                <c:pt idx="49">
                  <c:v>3322.21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0-4857-BDD0-2EF14FCC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7472"/>
        <c:axId val="36909552"/>
      </c:lineChart>
      <c:dateAx>
        <c:axId val="3690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09552"/>
        <c:crosses val="autoZero"/>
        <c:auto val="1"/>
        <c:lblOffset val="100"/>
        <c:baseTimeUnit val="months"/>
      </c:dateAx>
      <c:valAx>
        <c:axId val="369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337217405791772"/>
          <c:y val="0.37438456052360658"/>
          <c:w val="7.1121725339127029E-2"/>
          <c:h val="0.3428892432348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788458</xdr:colOff>
      <xdr:row>72</xdr:row>
      <xdr:rowOff>1059</xdr:rowOff>
    </xdr:from>
    <xdr:to>
      <xdr:col>21</xdr:col>
      <xdr:colOff>1409700</xdr:colOff>
      <xdr:row>97</xdr:row>
      <xdr:rowOff>68137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BBA06-1D37-4203-BEAD-C74E50D7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822885</xdr:colOff>
      <xdr:row>73</xdr:row>
      <xdr:rowOff>7471</xdr:rowOff>
    </xdr:from>
    <xdr:to>
      <xdr:col>24</xdr:col>
      <xdr:colOff>1223122</xdr:colOff>
      <xdr:row>75</xdr:row>
      <xdr:rowOff>101506</xdr:rowOff>
    </xdr:to>
    <xdr:sp macro="" textlink="">
      <xdr:nvSpPr>
        <xdr:cNvPr id="3" name="Star: 5 Points 2">
          <a:extLst>
            <a:ext uri="{FF2B5EF4-FFF2-40B4-BE49-F238E27FC236}">
              <a16:creationId xmlns:a16="http://schemas.microsoft.com/office/drawing/2014/main" id="{23EB6C85-7C95-4A75-9E2B-153643CBF3A7}"/>
            </a:ext>
          </a:extLst>
        </xdr:cNvPr>
        <xdr:cNvSpPr/>
      </xdr:nvSpPr>
      <xdr:spPr>
        <a:xfrm>
          <a:off x="12910297" y="9330765"/>
          <a:ext cx="400237" cy="46756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24</xdr:col>
      <xdr:colOff>822325</xdr:colOff>
      <xdr:row>79</xdr:row>
      <xdr:rowOff>18208</xdr:rowOff>
    </xdr:from>
    <xdr:to>
      <xdr:col>24</xdr:col>
      <xdr:colOff>1228912</xdr:colOff>
      <xdr:row>81</xdr:row>
      <xdr:rowOff>112244</xdr:rowOff>
    </xdr:to>
    <xdr:sp macro="" textlink="">
      <xdr:nvSpPr>
        <xdr:cNvPr id="4" name="Star: 5 Points 3">
          <a:extLst>
            <a:ext uri="{FF2B5EF4-FFF2-40B4-BE49-F238E27FC236}">
              <a16:creationId xmlns:a16="http://schemas.microsoft.com/office/drawing/2014/main" id="{245EF87B-E53F-4DA1-AE27-081F0658D0D1}"/>
            </a:ext>
          </a:extLst>
        </xdr:cNvPr>
        <xdr:cNvSpPr/>
      </xdr:nvSpPr>
      <xdr:spPr>
        <a:xfrm>
          <a:off x="12909737" y="10462090"/>
          <a:ext cx="406587" cy="467566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24</xdr:col>
      <xdr:colOff>833532</xdr:colOff>
      <xdr:row>76</xdr:row>
      <xdr:rowOff>26100</xdr:rowOff>
    </xdr:from>
    <xdr:to>
      <xdr:col>24</xdr:col>
      <xdr:colOff>1233769</xdr:colOff>
      <xdr:row>78</xdr:row>
      <xdr:rowOff>116960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C078F1D8-C0FC-4DE3-9A8C-088EAB07181D}"/>
            </a:ext>
          </a:extLst>
        </xdr:cNvPr>
        <xdr:cNvSpPr/>
      </xdr:nvSpPr>
      <xdr:spPr>
        <a:xfrm>
          <a:off x="12920944" y="9909688"/>
          <a:ext cx="400237" cy="46439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24</xdr:col>
      <xdr:colOff>851647</xdr:colOff>
      <xdr:row>82</xdr:row>
      <xdr:rowOff>101461</xdr:rowOff>
    </xdr:from>
    <xdr:to>
      <xdr:col>24</xdr:col>
      <xdr:colOff>1258234</xdr:colOff>
      <xdr:row>85</xdr:row>
      <xdr:rowOff>8731</xdr:rowOff>
    </xdr:to>
    <xdr:sp macro="" textlink="">
      <xdr:nvSpPr>
        <xdr:cNvPr id="6" name="Star: 5 Points 5">
          <a:extLst>
            <a:ext uri="{FF2B5EF4-FFF2-40B4-BE49-F238E27FC236}">
              <a16:creationId xmlns:a16="http://schemas.microsoft.com/office/drawing/2014/main" id="{DBBFBE62-88BC-47DE-8BAF-2F0AF4A6A8A2}"/>
            </a:ext>
          </a:extLst>
        </xdr:cNvPr>
        <xdr:cNvSpPr/>
      </xdr:nvSpPr>
      <xdr:spPr>
        <a:xfrm>
          <a:off x="12939059" y="11105637"/>
          <a:ext cx="406587" cy="46756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14</xdr:col>
      <xdr:colOff>810480</xdr:colOff>
      <xdr:row>87</xdr:row>
      <xdr:rowOff>7830</xdr:rowOff>
    </xdr:from>
    <xdr:to>
      <xdr:col>14</xdr:col>
      <xdr:colOff>1222714</xdr:colOff>
      <xdr:row>89</xdr:row>
      <xdr:rowOff>83034</xdr:rowOff>
    </xdr:to>
    <xdr:sp macro="" textlink="">
      <xdr:nvSpPr>
        <xdr:cNvPr id="7" name="Star: 5 Points 6">
          <a:extLst>
            <a:ext uri="{FF2B5EF4-FFF2-40B4-BE49-F238E27FC236}">
              <a16:creationId xmlns:a16="http://schemas.microsoft.com/office/drawing/2014/main" id="{83F259DE-A4CA-4BAC-B328-86DC51E8BB70}"/>
            </a:ext>
          </a:extLst>
        </xdr:cNvPr>
        <xdr:cNvSpPr/>
      </xdr:nvSpPr>
      <xdr:spPr>
        <a:xfrm>
          <a:off x="13419199" y="16069361"/>
          <a:ext cx="412234" cy="432392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24</xdr:col>
      <xdr:colOff>847725</xdr:colOff>
      <xdr:row>86</xdr:row>
      <xdr:rowOff>15875</xdr:rowOff>
    </xdr:from>
    <xdr:to>
      <xdr:col>24</xdr:col>
      <xdr:colOff>1257487</xdr:colOff>
      <xdr:row>88</xdr:row>
      <xdr:rowOff>104120</xdr:rowOff>
    </xdr:to>
    <xdr:sp macro="" textlink="">
      <xdr:nvSpPr>
        <xdr:cNvPr id="8" name="Star: 5 Points 7">
          <a:extLst>
            <a:ext uri="{FF2B5EF4-FFF2-40B4-BE49-F238E27FC236}">
              <a16:creationId xmlns:a16="http://schemas.microsoft.com/office/drawing/2014/main" id="{14528FB6-2DD2-4E41-BC86-DFC53E25E48A}"/>
            </a:ext>
          </a:extLst>
        </xdr:cNvPr>
        <xdr:cNvSpPr/>
      </xdr:nvSpPr>
      <xdr:spPr>
        <a:xfrm>
          <a:off x="13106400" y="11464925"/>
          <a:ext cx="409762" cy="45019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14</xdr:col>
      <xdr:colOff>1070444</xdr:colOff>
      <xdr:row>91</xdr:row>
      <xdr:rowOff>63525</xdr:rowOff>
    </xdr:from>
    <xdr:to>
      <xdr:col>14</xdr:col>
      <xdr:colOff>1487488</xdr:colOff>
      <xdr:row>93</xdr:row>
      <xdr:rowOff>151770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1DC0FF56-1F7B-4FD5-9497-E139F2894F66}"/>
            </a:ext>
          </a:extLst>
        </xdr:cNvPr>
        <xdr:cNvSpPr/>
      </xdr:nvSpPr>
      <xdr:spPr>
        <a:xfrm>
          <a:off x="13679163" y="16839431"/>
          <a:ext cx="417044" cy="445433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15</xdr:col>
      <xdr:colOff>68160</xdr:colOff>
      <xdr:row>84</xdr:row>
      <xdr:rowOff>113732</xdr:rowOff>
    </xdr:from>
    <xdr:to>
      <xdr:col>15</xdr:col>
      <xdr:colOff>495699</xdr:colOff>
      <xdr:row>87</xdr:row>
      <xdr:rowOff>30186</xdr:rowOff>
    </xdr:to>
    <xdr:sp macro="" textlink="">
      <xdr:nvSpPr>
        <xdr:cNvPr id="11" name="Star: 5 Points 10">
          <a:extLst>
            <a:ext uri="{FF2B5EF4-FFF2-40B4-BE49-F238E27FC236}">
              <a16:creationId xmlns:a16="http://schemas.microsoft.com/office/drawing/2014/main" id="{BCB4C051-356E-43E0-8E28-855CACAC2978}"/>
            </a:ext>
          </a:extLst>
        </xdr:cNvPr>
        <xdr:cNvSpPr/>
      </xdr:nvSpPr>
      <xdr:spPr>
        <a:xfrm>
          <a:off x="14653316" y="15639482"/>
          <a:ext cx="427539" cy="45223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24</xdr:col>
      <xdr:colOff>858044</xdr:colOff>
      <xdr:row>89</xdr:row>
      <xdr:rowOff>91281</xdr:rowOff>
    </xdr:from>
    <xdr:to>
      <xdr:col>24</xdr:col>
      <xdr:colOff>1267806</xdr:colOff>
      <xdr:row>92</xdr:row>
      <xdr:rowOff>7282</xdr:rowOff>
    </xdr:to>
    <xdr:sp macro="" textlink="">
      <xdr:nvSpPr>
        <xdr:cNvPr id="12" name="Star: 5 Points 11">
          <a:extLst>
            <a:ext uri="{FF2B5EF4-FFF2-40B4-BE49-F238E27FC236}">
              <a16:creationId xmlns:a16="http://schemas.microsoft.com/office/drawing/2014/main" id="{5AEC3AC7-D59F-49DB-9F6F-9E79CA7C3B98}"/>
            </a:ext>
          </a:extLst>
        </xdr:cNvPr>
        <xdr:cNvSpPr/>
      </xdr:nvSpPr>
      <xdr:spPr>
        <a:xfrm>
          <a:off x="17050544" y="11985625"/>
          <a:ext cx="409762" cy="451782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24</xdr:col>
      <xdr:colOff>901700</xdr:colOff>
      <xdr:row>92</xdr:row>
      <xdr:rowOff>177800</xdr:rowOff>
    </xdr:from>
    <xdr:to>
      <xdr:col>24</xdr:col>
      <xdr:colOff>1311462</xdr:colOff>
      <xdr:row>95</xdr:row>
      <xdr:rowOff>93801</xdr:rowOff>
    </xdr:to>
    <xdr:sp macro="" textlink="">
      <xdr:nvSpPr>
        <xdr:cNvPr id="10" name="Star: 5 Points 9">
          <a:extLst>
            <a:ext uri="{FF2B5EF4-FFF2-40B4-BE49-F238E27FC236}">
              <a16:creationId xmlns:a16="http://schemas.microsoft.com/office/drawing/2014/main" id="{4C166CD6-12CD-4FEA-A971-2CD3D362F0C5}"/>
            </a:ext>
          </a:extLst>
        </xdr:cNvPr>
        <xdr:cNvSpPr/>
      </xdr:nvSpPr>
      <xdr:spPr>
        <a:xfrm>
          <a:off x="18262600" y="13766800"/>
          <a:ext cx="409762" cy="487501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15</xdr:col>
      <xdr:colOff>632971</xdr:colOff>
      <xdr:row>87</xdr:row>
      <xdr:rowOff>8769</xdr:rowOff>
    </xdr:from>
    <xdr:to>
      <xdr:col>15</xdr:col>
      <xdr:colOff>1047496</xdr:colOff>
      <xdr:row>89</xdr:row>
      <xdr:rowOff>103907</xdr:rowOff>
    </xdr:to>
    <xdr:sp macro="" textlink="">
      <xdr:nvSpPr>
        <xdr:cNvPr id="13" name="Star: 5 Points 12">
          <a:extLst>
            <a:ext uri="{FF2B5EF4-FFF2-40B4-BE49-F238E27FC236}">
              <a16:creationId xmlns:a16="http://schemas.microsoft.com/office/drawing/2014/main" id="{1DF46B5A-F2D4-4957-9108-2A4A5196EF42}"/>
            </a:ext>
          </a:extLst>
        </xdr:cNvPr>
        <xdr:cNvSpPr/>
      </xdr:nvSpPr>
      <xdr:spPr>
        <a:xfrm>
          <a:off x="15218127" y="16070300"/>
          <a:ext cx="414525" cy="452326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24</xdr:col>
      <xdr:colOff>899886</xdr:colOff>
      <xdr:row>95</xdr:row>
      <xdr:rowOff>141515</xdr:rowOff>
    </xdr:from>
    <xdr:to>
      <xdr:col>24</xdr:col>
      <xdr:colOff>1309648</xdr:colOff>
      <xdr:row>98</xdr:row>
      <xdr:rowOff>57515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E856A318-28F4-4744-A5FF-4C74FF4A091D}"/>
            </a:ext>
          </a:extLst>
        </xdr:cNvPr>
        <xdr:cNvSpPr/>
      </xdr:nvSpPr>
      <xdr:spPr>
        <a:xfrm>
          <a:off x="22226815" y="15472229"/>
          <a:ext cx="409762" cy="460286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18</xdr:col>
      <xdr:colOff>401071</xdr:colOff>
      <xdr:row>86</xdr:row>
      <xdr:rowOff>63047</xdr:rowOff>
    </xdr:from>
    <xdr:to>
      <xdr:col>18</xdr:col>
      <xdr:colOff>818770</xdr:colOff>
      <xdr:row>88</xdr:row>
      <xdr:rowOff>168754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D9AE54BD-5BF3-4293-A15A-96F4AAA03E43}"/>
            </a:ext>
          </a:extLst>
        </xdr:cNvPr>
        <xdr:cNvSpPr/>
      </xdr:nvSpPr>
      <xdr:spPr>
        <a:xfrm>
          <a:off x="16379259" y="15945985"/>
          <a:ext cx="417699" cy="462894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24</xdr:col>
      <xdr:colOff>906689</xdr:colOff>
      <xdr:row>98</xdr:row>
      <xdr:rowOff>168728</xdr:rowOff>
    </xdr:from>
    <xdr:to>
      <xdr:col>24</xdr:col>
      <xdr:colOff>1316451</xdr:colOff>
      <xdr:row>101</xdr:row>
      <xdr:rowOff>84729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ED0F4726-E722-4FFB-BBB8-4B35B0ADF6AF}"/>
            </a:ext>
          </a:extLst>
        </xdr:cNvPr>
        <xdr:cNvSpPr/>
      </xdr:nvSpPr>
      <xdr:spPr>
        <a:xfrm>
          <a:off x="22250627" y="16480291"/>
          <a:ext cx="409762" cy="463688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19</xdr:col>
      <xdr:colOff>889228</xdr:colOff>
      <xdr:row>89</xdr:row>
      <xdr:rowOff>142535</xdr:rowOff>
    </xdr:from>
    <xdr:to>
      <xdr:col>21</xdr:col>
      <xdr:colOff>63915</xdr:colOff>
      <xdr:row>92</xdr:row>
      <xdr:rowOff>62504</xdr:rowOff>
    </xdr:to>
    <xdr:sp macro="" textlink="">
      <xdr:nvSpPr>
        <xdr:cNvPr id="17" name="Star: 5 Points 16">
          <a:extLst>
            <a:ext uri="{FF2B5EF4-FFF2-40B4-BE49-F238E27FC236}">
              <a16:creationId xmlns:a16="http://schemas.microsoft.com/office/drawing/2014/main" id="{DE61A59A-2B36-42BD-BE63-C4E9BE2A8009}"/>
            </a:ext>
          </a:extLst>
        </xdr:cNvPr>
        <xdr:cNvSpPr/>
      </xdr:nvSpPr>
      <xdr:spPr>
        <a:xfrm>
          <a:off x="18177103" y="16561254"/>
          <a:ext cx="412937" cy="4557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14</xdr:col>
      <xdr:colOff>761267</xdr:colOff>
      <xdr:row>88</xdr:row>
      <xdr:rowOff>164198</xdr:rowOff>
    </xdr:from>
    <xdr:to>
      <xdr:col>14</xdr:col>
      <xdr:colOff>1176676</xdr:colOff>
      <xdr:row>91</xdr:row>
      <xdr:rowOff>67160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6EC52290-DA48-4869-B207-5A30FE6A34A4}"/>
            </a:ext>
          </a:extLst>
        </xdr:cNvPr>
        <xdr:cNvSpPr/>
      </xdr:nvSpPr>
      <xdr:spPr>
        <a:xfrm>
          <a:off x="13369986" y="16404323"/>
          <a:ext cx="415409" cy="438743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24</xdr:col>
      <xdr:colOff>914624</xdr:colOff>
      <xdr:row>101</xdr:row>
      <xdr:rowOff>115546</xdr:rowOff>
    </xdr:from>
    <xdr:to>
      <xdr:col>25</xdr:col>
      <xdr:colOff>71437</xdr:colOff>
      <xdr:row>104</xdr:row>
      <xdr:rowOff>47422</xdr:rowOff>
    </xdr:to>
    <xdr:sp macro="" textlink="">
      <xdr:nvSpPr>
        <xdr:cNvPr id="19" name="Star: 5 Points 18">
          <a:extLst>
            <a:ext uri="{FF2B5EF4-FFF2-40B4-BE49-F238E27FC236}">
              <a16:creationId xmlns:a16="http://schemas.microsoft.com/office/drawing/2014/main" id="{F1975173-CD63-4557-8D88-610F678DB17F}"/>
            </a:ext>
          </a:extLst>
        </xdr:cNvPr>
        <xdr:cNvSpPr/>
      </xdr:nvSpPr>
      <xdr:spPr>
        <a:xfrm>
          <a:off x="22322062" y="18677390"/>
          <a:ext cx="526031" cy="467657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>
              <a:solidFill>
                <a:schemeClr val="tx1"/>
              </a:solidFill>
            </a:rPr>
            <a:t>10</a:t>
          </a:r>
        </a:p>
      </xdr:txBody>
    </xdr:sp>
    <xdr:clientData/>
  </xdr:twoCellAnchor>
  <xdr:twoCellAnchor>
    <xdr:from>
      <xdr:col>21</xdr:col>
      <xdr:colOff>233587</xdr:colOff>
      <xdr:row>90</xdr:row>
      <xdr:rowOff>86177</xdr:rowOff>
    </xdr:from>
    <xdr:to>
      <xdr:col>21</xdr:col>
      <xdr:colOff>753268</xdr:colOff>
      <xdr:row>93</xdr:row>
      <xdr:rowOff>27578</xdr:rowOff>
    </xdr:to>
    <xdr:sp macro="" textlink="">
      <xdr:nvSpPr>
        <xdr:cNvPr id="20" name="Star: 5 Points 19">
          <a:extLst>
            <a:ext uri="{FF2B5EF4-FFF2-40B4-BE49-F238E27FC236}">
              <a16:creationId xmlns:a16="http://schemas.microsoft.com/office/drawing/2014/main" id="{95ADBC92-8A97-42C2-9829-99BE426B6469}"/>
            </a:ext>
          </a:extLst>
        </xdr:cNvPr>
        <xdr:cNvSpPr/>
      </xdr:nvSpPr>
      <xdr:spPr>
        <a:xfrm>
          <a:off x="18759712" y="16683490"/>
          <a:ext cx="519681" cy="477182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>
              <a:solidFill>
                <a:schemeClr val="tx1"/>
              </a:solidFill>
            </a:rPr>
            <a:t>10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0.4208</cdr:x>
      <cdr:y>0.64309</cdr:y>
    </cdr:from>
    <cdr:to>
      <cdr:x>0.45326</cdr:x>
      <cdr:y>0.73988</cdr:y>
    </cdr:to>
    <cdr:sp macro="" textlink="">
      <cdr:nvSpPr>
        <cdr:cNvPr id="3" name="Star: 5 Points 2">
          <a:extLst xmlns:a="http://schemas.openxmlformats.org/drawingml/2006/main">
            <a:ext uri="{FF2B5EF4-FFF2-40B4-BE49-F238E27FC236}">
              <a16:creationId xmlns:a16="http://schemas.microsoft.com/office/drawing/2014/main" id="{9B171197-210F-418B-14F1-16C0F252F158}"/>
            </a:ext>
          </a:extLst>
        </cdr:cNvPr>
        <cdr:cNvSpPr/>
      </cdr:nvSpPr>
      <cdr:spPr>
        <a:xfrm xmlns:a="http://schemas.openxmlformats.org/drawingml/2006/main">
          <a:off x="5996722" y="2912383"/>
          <a:ext cx="462550" cy="438337"/>
        </a:xfrm>
        <a:prstGeom xmlns:a="http://schemas.openxmlformats.org/drawingml/2006/main" prst="star5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>
              <a:solidFill>
                <a:schemeClr val="tx1"/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0.13858</cdr:x>
      <cdr:y>0.77129</cdr:y>
    </cdr:from>
    <cdr:to>
      <cdr:x>0.16585</cdr:x>
      <cdr:y>0.86807</cdr:y>
    </cdr:to>
    <cdr:sp macro="" textlink="">
      <cdr:nvSpPr>
        <cdr:cNvPr id="4" name="Star: 5 Points 3">
          <a:extLst xmlns:a="http://schemas.openxmlformats.org/drawingml/2006/main">
            <a:ext uri="{FF2B5EF4-FFF2-40B4-BE49-F238E27FC236}">
              <a16:creationId xmlns:a16="http://schemas.microsoft.com/office/drawing/2014/main" id="{529D7907-E09C-DE12-1007-7CCDD0AD279E}"/>
            </a:ext>
          </a:extLst>
        </cdr:cNvPr>
        <cdr:cNvSpPr/>
      </cdr:nvSpPr>
      <cdr:spPr>
        <a:xfrm xmlns:a="http://schemas.openxmlformats.org/drawingml/2006/main">
          <a:off x="1974797" y="3492988"/>
          <a:ext cx="388726" cy="438292"/>
        </a:xfrm>
        <a:prstGeom xmlns:a="http://schemas.openxmlformats.org/drawingml/2006/main" prst="star5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>
              <a:solidFill>
                <a:schemeClr val="tx1"/>
              </a:solidFill>
            </a:rPr>
            <a:t>1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68E7-3546-4922-A4DD-F9986BF348C6}">
  <dimension ref="A1:AM104"/>
  <sheetViews>
    <sheetView tabSelected="1" zoomScale="110" zoomScaleNormal="110" workbookViewId="0">
      <pane ySplit="1" topLeftCell="A42" activePane="bottomLeft" state="frozen"/>
      <selection pane="bottomLeft" activeCell="G48" sqref="G48"/>
    </sheetView>
  </sheetViews>
  <sheetFormatPr defaultRowHeight="14.5" x14ac:dyDescent="0.35"/>
  <cols>
    <col min="1" max="1" width="12.36328125" customWidth="1"/>
    <col min="2" max="2" width="13.90625" customWidth="1"/>
    <col min="3" max="3" width="10.7265625" customWidth="1"/>
    <col min="4" max="4" width="21.81640625" bestFit="1" customWidth="1"/>
    <col min="5" max="5" width="11.08984375" customWidth="1"/>
    <col min="6" max="6" width="11.81640625" customWidth="1"/>
    <col min="7" max="7" width="10.6328125" customWidth="1"/>
    <col min="8" max="8" width="13.81640625" customWidth="1"/>
    <col min="9" max="9" width="13.90625" bestFit="1" customWidth="1"/>
    <col min="10" max="10" width="13.90625" style="9" customWidth="1"/>
    <col min="11" max="11" width="2.36328125" customWidth="1"/>
    <col min="12" max="12" width="29.54296875" bestFit="1" customWidth="1"/>
    <col min="13" max="13" width="11.7265625" bestFit="1" customWidth="1"/>
    <col min="14" max="14" width="2.36328125" customWidth="1"/>
    <col min="15" max="15" width="28.1796875" customWidth="1"/>
    <col min="16" max="16" width="15.08984375" customWidth="1"/>
    <col min="17" max="18" width="2.36328125" customWidth="1"/>
    <col min="19" max="19" width="18.6328125" customWidth="1"/>
    <col min="20" max="20" width="15.26953125" customWidth="1"/>
    <col min="21" max="21" width="2.36328125" customWidth="1"/>
    <col min="22" max="22" width="28.1796875" bestFit="1" customWidth="1"/>
    <col min="23" max="23" width="10.6328125" bestFit="1" customWidth="1"/>
    <col min="24" max="24" width="2.36328125" customWidth="1"/>
    <col min="25" max="25" width="19.6328125" customWidth="1"/>
    <col min="26" max="26" width="11.90625" customWidth="1"/>
    <col min="27" max="27" width="2.453125" customWidth="1"/>
    <col min="28" max="28" width="25.453125" customWidth="1"/>
    <col min="29" max="29" width="11.90625" bestFit="1" customWidth="1"/>
    <col min="30" max="30" width="2.453125" customWidth="1"/>
    <col min="31" max="31" width="15.90625" customWidth="1"/>
    <col min="32" max="32" width="10.90625" customWidth="1"/>
    <col min="33" max="33" width="2.453125" customWidth="1"/>
    <col min="34" max="34" width="12.90625" customWidth="1"/>
    <col min="35" max="35" width="13" customWidth="1"/>
    <col min="36" max="36" width="2.36328125" customWidth="1"/>
    <col min="38" max="38" width="10.453125" customWidth="1"/>
  </cols>
  <sheetData>
    <row r="1" spans="1:39" s="1" customFormat="1" ht="15.5" x14ac:dyDescent="0.35">
      <c r="A1" s="76" t="s">
        <v>0</v>
      </c>
      <c r="B1" s="76"/>
      <c r="C1" s="76" t="s">
        <v>1</v>
      </c>
      <c r="D1" s="76"/>
      <c r="E1" s="20" t="s">
        <v>112</v>
      </c>
      <c r="F1" s="76" t="s">
        <v>2</v>
      </c>
      <c r="G1" s="76"/>
      <c r="H1" s="20" t="s">
        <v>103</v>
      </c>
      <c r="I1" s="20" t="s">
        <v>117</v>
      </c>
      <c r="J1" s="20" t="s">
        <v>122</v>
      </c>
      <c r="L1" s="20" t="s">
        <v>164</v>
      </c>
      <c r="M1" s="57">
        <v>31250</v>
      </c>
      <c r="O1" s="1" t="s">
        <v>128</v>
      </c>
      <c r="P1" s="16">
        <v>150000</v>
      </c>
      <c r="S1" s="26" t="s">
        <v>87</v>
      </c>
      <c r="T1" s="27">
        <v>87000</v>
      </c>
      <c r="V1" s="26" t="s">
        <v>57</v>
      </c>
      <c r="W1" s="27">
        <v>100000</v>
      </c>
      <c r="X1" s="16"/>
      <c r="Y1" s="26" t="s">
        <v>5</v>
      </c>
      <c r="Z1" s="34">
        <f>20000+5000+35000+11366</f>
        <v>71366</v>
      </c>
      <c r="AA1" s="3"/>
      <c r="AB1" s="26" t="s">
        <v>4</v>
      </c>
      <c r="AC1" s="38">
        <v>18150</v>
      </c>
      <c r="AD1" s="3"/>
      <c r="AE1" s="26" t="s">
        <v>3</v>
      </c>
      <c r="AF1" s="38">
        <v>21950</v>
      </c>
      <c r="AG1" s="4"/>
      <c r="AH1" s="26" t="s">
        <v>23</v>
      </c>
      <c r="AI1" s="26"/>
      <c r="AK1" s="26" t="s">
        <v>6</v>
      </c>
      <c r="AL1" s="26"/>
      <c r="AM1" s="26"/>
    </row>
    <row r="2" spans="1:39" x14ac:dyDescent="0.35">
      <c r="A2" s="22">
        <v>44075</v>
      </c>
      <c r="B2" s="2">
        <v>772.3</v>
      </c>
      <c r="C2" s="22">
        <v>44075</v>
      </c>
      <c r="D2" s="2">
        <v>1489.2</v>
      </c>
      <c r="E2" s="2">
        <f>B2+D2</f>
        <v>2261.5</v>
      </c>
      <c r="F2" s="9"/>
      <c r="G2" s="2"/>
      <c r="H2" s="2"/>
      <c r="I2" s="2">
        <f t="shared" ref="I2:I6" si="0">G2+H2</f>
        <v>0</v>
      </c>
      <c r="J2" s="25">
        <f>E2+I2</f>
        <v>2261.5</v>
      </c>
      <c r="K2" s="2"/>
      <c r="S2" s="31" t="s">
        <v>91</v>
      </c>
      <c r="T2" s="50">
        <v>2864</v>
      </c>
      <c r="U2" s="2"/>
      <c r="V2" s="28" t="s">
        <v>61</v>
      </c>
      <c r="W2" s="28">
        <v>2859</v>
      </c>
      <c r="X2" s="2"/>
      <c r="Y2" s="35">
        <v>44197</v>
      </c>
      <c r="Z2" s="28">
        <f>129.1+2228.4</f>
        <v>2357.5</v>
      </c>
      <c r="AA2" s="2"/>
      <c r="AB2" s="32" t="s">
        <v>7</v>
      </c>
      <c r="AC2" s="28">
        <f>1224+180+75</f>
        <v>1479</v>
      </c>
      <c r="AD2" s="2"/>
      <c r="AE2" s="35">
        <v>44075</v>
      </c>
      <c r="AF2" s="28">
        <f>3651+2160</f>
        <v>5811</v>
      </c>
      <c r="AG2" s="2"/>
      <c r="AH2" s="35">
        <v>44075</v>
      </c>
      <c r="AI2" s="42">
        <v>3000</v>
      </c>
      <c r="AJ2" s="2"/>
      <c r="AK2" s="35">
        <v>44075</v>
      </c>
      <c r="AL2" s="28">
        <v>260.8</v>
      </c>
      <c r="AM2" s="32"/>
    </row>
    <row r="3" spans="1:39" x14ac:dyDescent="0.35">
      <c r="A3" s="22">
        <v>44105</v>
      </c>
      <c r="B3" s="2">
        <v>2878.7</v>
      </c>
      <c r="C3" s="22">
        <v>44105</v>
      </c>
      <c r="D3" s="2">
        <v>3931.6</v>
      </c>
      <c r="E3" s="2">
        <f>B3+D3</f>
        <v>6810.2999999999993</v>
      </c>
      <c r="F3" s="9"/>
      <c r="G3" s="8"/>
      <c r="H3" s="2"/>
      <c r="I3" s="2">
        <f t="shared" si="0"/>
        <v>0</v>
      </c>
      <c r="J3" s="25">
        <f t="shared" ref="J3:J41" si="1">E3+I3</f>
        <v>6810.2999999999993</v>
      </c>
      <c r="K3" s="2"/>
      <c r="S3" s="31" t="s">
        <v>92</v>
      </c>
      <c r="T3" s="50">
        <v>2992.35</v>
      </c>
      <c r="U3" s="2"/>
      <c r="V3" s="29" t="s">
        <v>50</v>
      </c>
      <c r="W3" s="28">
        <v>2770</v>
      </c>
      <c r="X3" s="2"/>
      <c r="Y3" s="35">
        <v>44228</v>
      </c>
      <c r="Z3" s="28">
        <f>4357+1861+73.1</f>
        <v>6291.1</v>
      </c>
      <c r="AA3" s="2"/>
      <c r="AB3" s="32" t="s">
        <v>8</v>
      </c>
      <c r="AC3" s="28">
        <v>564</v>
      </c>
      <c r="AD3" s="2"/>
      <c r="AE3" s="35">
        <v>44105</v>
      </c>
      <c r="AF3" s="43" t="s">
        <v>21</v>
      </c>
      <c r="AG3" s="2"/>
      <c r="AH3" s="35">
        <v>44105</v>
      </c>
      <c r="AI3" s="29" t="s">
        <v>21</v>
      </c>
      <c r="AJ3" s="2"/>
      <c r="AK3" s="35">
        <v>44105</v>
      </c>
      <c r="AL3" s="29" t="s">
        <v>21</v>
      </c>
      <c r="AM3" s="32"/>
    </row>
    <row r="4" spans="1:39" ht="15.5" x14ac:dyDescent="0.35">
      <c r="A4" s="22">
        <v>44136</v>
      </c>
      <c r="B4" s="2">
        <v>2471</v>
      </c>
      <c r="C4" s="22">
        <v>44136</v>
      </c>
      <c r="D4" s="2">
        <v>3648.6</v>
      </c>
      <c r="E4" s="2">
        <f t="shared" ref="E4:E45" si="2">B4+D4</f>
        <v>6119.6</v>
      </c>
      <c r="F4" s="9"/>
      <c r="G4" s="2"/>
      <c r="H4" s="2"/>
      <c r="I4" s="2">
        <f t="shared" si="0"/>
        <v>0</v>
      </c>
      <c r="J4" s="25">
        <f t="shared" si="1"/>
        <v>6119.6</v>
      </c>
      <c r="K4" s="2"/>
      <c r="S4" s="31" t="s">
        <v>93</v>
      </c>
      <c r="T4" s="50">
        <v>1308</v>
      </c>
      <c r="U4" s="2"/>
      <c r="V4" s="29" t="s">
        <v>51</v>
      </c>
      <c r="W4" s="28">
        <v>3507</v>
      </c>
      <c r="X4" s="2"/>
      <c r="Y4" s="35">
        <v>44256</v>
      </c>
      <c r="Z4" s="28">
        <f>218.64+186.5</f>
        <v>405.14</v>
      </c>
      <c r="AA4" s="2"/>
      <c r="AB4" s="32" t="s">
        <v>15</v>
      </c>
      <c r="AC4" s="28">
        <f>3354+200</f>
        <v>3554</v>
      </c>
      <c r="AD4" s="2"/>
      <c r="AE4" s="35">
        <v>44136</v>
      </c>
      <c r="AF4" s="28">
        <f>2471+540</f>
        <v>3011</v>
      </c>
      <c r="AG4" s="2"/>
      <c r="AH4" s="26" t="s">
        <v>22</v>
      </c>
      <c r="AI4" s="26"/>
      <c r="AJ4" s="2"/>
      <c r="AK4" s="35">
        <v>44136</v>
      </c>
      <c r="AL4" s="28">
        <v>3108.6</v>
      </c>
      <c r="AM4" s="32"/>
    </row>
    <row r="5" spans="1:39" x14ac:dyDescent="0.35">
      <c r="A5" s="22">
        <v>44166</v>
      </c>
      <c r="B5" s="2">
        <v>5905.6</v>
      </c>
      <c r="C5" s="22">
        <v>44166</v>
      </c>
      <c r="D5" s="2">
        <f>4879+360</f>
        <v>5239</v>
      </c>
      <c r="E5" s="2">
        <f t="shared" si="2"/>
        <v>11144.6</v>
      </c>
      <c r="F5" s="9"/>
      <c r="G5" s="2"/>
      <c r="H5" s="2"/>
      <c r="I5" s="2">
        <f t="shared" si="0"/>
        <v>0</v>
      </c>
      <c r="J5" s="25">
        <f t="shared" si="1"/>
        <v>11144.6</v>
      </c>
      <c r="K5" s="2"/>
      <c r="S5" s="31" t="s">
        <v>94</v>
      </c>
      <c r="T5" s="50">
        <v>2130</v>
      </c>
      <c r="U5" s="2"/>
      <c r="V5" s="29" t="s">
        <v>68</v>
      </c>
      <c r="W5" s="30">
        <v>4319.32</v>
      </c>
      <c r="X5" s="2"/>
      <c r="Y5" s="35">
        <v>44287</v>
      </c>
      <c r="Z5" s="28">
        <f>476.11+706</f>
        <v>1182.1100000000001</v>
      </c>
      <c r="AA5" s="2"/>
      <c r="AB5" s="32" t="s">
        <v>9</v>
      </c>
      <c r="AC5" s="28">
        <v>1616.3</v>
      </c>
      <c r="AD5" s="2"/>
      <c r="AE5" s="35">
        <v>44166</v>
      </c>
      <c r="AF5" s="28">
        <f>5905.6+1260</f>
        <v>7165.6</v>
      </c>
      <c r="AG5" s="2"/>
      <c r="AH5" s="32"/>
      <c r="AI5" s="28">
        <v>48</v>
      </c>
      <c r="AJ5" s="2"/>
      <c r="AK5" s="35">
        <v>44166</v>
      </c>
      <c r="AL5" s="28">
        <f>3619+360</f>
        <v>3979</v>
      </c>
      <c r="AM5" s="32"/>
    </row>
    <row r="6" spans="1:39" ht="15" thickBot="1" x14ac:dyDescent="0.4">
      <c r="A6" s="22">
        <v>44197</v>
      </c>
      <c r="B6" s="2">
        <v>5551.5</v>
      </c>
      <c r="C6" s="22">
        <v>44197</v>
      </c>
      <c r="D6" s="2">
        <f>5050+370</f>
        <v>5420</v>
      </c>
      <c r="E6" s="2">
        <f t="shared" si="2"/>
        <v>10971.5</v>
      </c>
      <c r="F6" s="9"/>
      <c r="G6" s="2"/>
      <c r="H6" s="2"/>
      <c r="I6" s="2">
        <f t="shared" si="0"/>
        <v>0</v>
      </c>
      <c r="J6" s="25">
        <f t="shared" si="1"/>
        <v>10971.5</v>
      </c>
      <c r="K6" s="2"/>
      <c r="S6" s="29" t="s">
        <v>104</v>
      </c>
      <c r="T6" s="28">
        <v>405.42</v>
      </c>
      <c r="U6" s="2"/>
      <c r="V6" s="31" t="s">
        <v>69</v>
      </c>
      <c r="W6" s="50">
        <v>2178</v>
      </c>
      <c r="X6" s="2"/>
      <c r="Y6" s="35">
        <v>44317</v>
      </c>
      <c r="Z6" s="28">
        <v>598.13</v>
      </c>
      <c r="AA6" s="2"/>
      <c r="AB6" s="32" t="s">
        <v>10</v>
      </c>
      <c r="AC6" s="28">
        <f>2376+130</f>
        <v>2506</v>
      </c>
      <c r="AD6" s="2"/>
      <c r="AE6" s="35">
        <v>44197</v>
      </c>
      <c r="AF6" s="36">
        <f>5551.5+540</f>
        <v>6091.5</v>
      </c>
      <c r="AG6" s="2"/>
      <c r="AH6" s="32"/>
      <c r="AI6" s="28">
        <v>180</v>
      </c>
      <c r="AJ6" s="2"/>
      <c r="AK6" s="35">
        <v>44197</v>
      </c>
      <c r="AL6" s="36">
        <f>2281.6+370</f>
        <v>2651.6</v>
      </c>
      <c r="AM6" s="32"/>
    </row>
    <row r="7" spans="1:39" ht="15" thickTop="1" x14ac:dyDescent="0.35">
      <c r="A7" s="22">
        <v>44228</v>
      </c>
      <c r="B7" s="2">
        <v>1861</v>
      </c>
      <c r="C7" s="22">
        <v>44228</v>
      </c>
      <c r="D7" s="2">
        <f>3732+265+360</f>
        <v>4357</v>
      </c>
      <c r="E7" s="2">
        <f t="shared" si="2"/>
        <v>6218</v>
      </c>
      <c r="F7" s="22">
        <v>44228</v>
      </c>
      <c r="G7" s="2">
        <v>73.099999999999994</v>
      </c>
      <c r="H7" s="2"/>
      <c r="I7" s="2">
        <f>G7+H7</f>
        <v>73.099999999999994</v>
      </c>
      <c r="J7" s="25">
        <f t="shared" si="1"/>
        <v>6291.1</v>
      </c>
      <c r="K7" s="2"/>
      <c r="S7" s="31" t="s">
        <v>95</v>
      </c>
      <c r="T7" s="50">
        <v>1644</v>
      </c>
      <c r="U7" s="2"/>
      <c r="V7" s="31" t="s">
        <v>70</v>
      </c>
      <c r="W7" s="50">
        <v>2371.4</v>
      </c>
      <c r="X7" s="2"/>
      <c r="Y7" s="35">
        <v>44348</v>
      </c>
      <c r="Z7" s="28">
        <v>1618.72</v>
      </c>
      <c r="AA7" s="2"/>
      <c r="AB7" s="32" t="s">
        <v>11</v>
      </c>
      <c r="AC7" s="28">
        <v>1218.5</v>
      </c>
      <c r="AD7" s="2"/>
      <c r="AE7" s="32"/>
      <c r="AF7" s="28">
        <f>SUM(AF2:AF6)</f>
        <v>22079.1</v>
      </c>
      <c r="AG7" s="2"/>
      <c r="AH7" s="32"/>
      <c r="AI7" s="28">
        <v>48</v>
      </c>
      <c r="AJ7" s="2"/>
      <c r="AK7" s="32"/>
      <c r="AL7" s="30">
        <f>SUM(AL2:AL6)</f>
        <v>10000</v>
      </c>
      <c r="AM7" s="32"/>
    </row>
    <row r="8" spans="1:39" ht="15" thickBot="1" x14ac:dyDescent="0.4">
      <c r="A8" s="22">
        <v>44256</v>
      </c>
      <c r="B8" s="2">
        <v>186.5</v>
      </c>
      <c r="C8" s="22">
        <v>44256</v>
      </c>
      <c r="D8" s="2">
        <f>180+40</f>
        <v>220</v>
      </c>
      <c r="E8" s="2">
        <f t="shared" si="2"/>
        <v>406.5</v>
      </c>
      <c r="F8" s="22">
        <v>44256</v>
      </c>
      <c r="G8" s="2">
        <v>218.64</v>
      </c>
      <c r="H8" s="2"/>
      <c r="I8" s="2">
        <f t="shared" ref="I8:I41" si="3">G8+H8</f>
        <v>218.64</v>
      </c>
      <c r="J8" s="25">
        <f t="shared" si="1"/>
        <v>625.14</v>
      </c>
      <c r="K8" s="2"/>
      <c r="S8" s="31" t="s">
        <v>96</v>
      </c>
      <c r="T8" s="50">
        <v>1590.3</v>
      </c>
      <c r="U8" s="2"/>
      <c r="V8" s="31" t="s">
        <v>73</v>
      </c>
      <c r="W8" s="50">
        <v>4578.6899999999996</v>
      </c>
      <c r="X8" s="2"/>
      <c r="Y8" s="35">
        <v>44378</v>
      </c>
      <c r="Z8" s="28">
        <v>2388.37</v>
      </c>
      <c r="AA8" s="5"/>
      <c r="AB8" s="32" t="s">
        <v>16</v>
      </c>
      <c r="AC8" s="28">
        <f>2007+140</f>
        <v>2147</v>
      </c>
      <c r="AD8" s="2"/>
      <c r="AE8" s="32"/>
      <c r="AF8" s="30">
        <f>AF1-AF7</f>
        <v>-129.09999999999854</v>
      </c>
      <c r="AG8" s="2"/>
      <c r="AH8" s="29" t="s">
        <v>18</v>
      </c>
      <c r="AI8" s="36">
        <v>1724</v>
      </c>
      <c r="AJ8" s="2"/>
      <c r="AL8" s="2"/>
    </row>
    <row r="9" spans="1:39" ht="15" thickTop="1" x14ac:dyDescent="0.35">
      <c r="A9" s="22">
        <v>44287</v>
      </c>
      <c r="B9" s="2">
        <v>0</v>
      </c>
      <c r="C9" s="22">
        <v>44287</v>
      </c>
      <c r="D9" s="2">
        <f>534+180</f>
        <v>714</v>
      </c>
      <c r="E9" s="2">
        <f t="shared" si="2"/>
        <v>714</v>
      </c>
      <c r="F9" s="22">
        <v>44287</v>
      </c>
      <c r="G9" s="2">
        <v>476.11</v>
      </c>
      <c r="H9" s="2"/>
      <c r="I9" s="2">
        <f t="shared" si="3"/>
        <v>476.11</v>
      </c>
      <c r="J9" s="25">
        <f t="shared" si="1"/>
        <v>1190.1100000000001</v>
      </c>
      <c r="K9" s="2"/>
      <c r="S9" s="29" t="s">
        <v>105</v>
      </c>
      <c r="T9" s="28">
        <v>310.56</v>
      </c>
      <c r="U9" s="2"/>
      <c r="V9" s="31" t="s">
        <v>71</v>
      </c>
      <c r="W9" s="50">
        <v>4515</v>
      </c>
      <c r="X9" s="2"/>
      <c r="Y9" s="35">
        <v>44409</v>
      </c>
      <c r="Z9" s="28">
        <v>3017.75</v>
      </c>
      <c r="AA9" s="2"/>
      <c r="AB9" s="32" t="s">
        <v>17</v>
      </c>
      <c r="AC9" s="28">
        <v>2470.5</v>
      </c>
      <c r="AD9" s="2"/>
      <c r="AF9" s="2"/>
      <c r="AG9" s="2"/>
      <c r="AH9" s="32"/>
      <c r="AI9" s="30">
        <f>SUM(AI5:AI8)</f>
        <v>2000</v>
      </c>
      <c r="AJ9" s="2"/>
      <c r="AK9" s="2"/>
      <c r="AL9" s="2"/>
    </row>
    <row r="10" spans="1:39" x14ac:dyDescent="0.35">
      <c r="A10" s="22">
        <v>44317</v>
      </c>
      <c r="B10" s="2">
        <v>564</v>
      </c>
      <c r="C10" s="22">
        <v>44317</v>
      </c>
      <c r="D10" s="2">
        <f>1224+180+75</f>
        <v>1479</v>
      </c>
      <c r="E10" s="2">
        <f t="shared" si="2"/>
        <v>2043</v>
      </c>
      <c r="F10" s="22">
        <v>44317</v>
      </c>
      <c r="G10" s="2">
        <v>598.13</v>
      </c>
      <c r="H10" s="2"/>
      <c r="I10" s="2">
        <f t="shared" si="3"/>
        <v>598.13</v>
      </c>
      <c r="J10" s="25">
        <f t="shared" si="1"/>
        <v>2641.13</v>
      </c>
      <c r="K10" s="2"/>
      <c r="S10" s="31" t="s">
        <v>97</v>
      </c>
      <c r="T10" s="50">
        <v>2628</v>
      </c>
      <c r="U10" s="2"/>
      <c r="V10" s="31" t="s">
        <v>72</v>
      </c>
      <c r="W10" s="50">
        <v>2480.9499999999998</v>
      </c>
      <c r="X10" s="2"/>
      <c r="Y10" s="35">
        <v>44440</v>
      </c>
      <c r="Z10" s="28">
        <v>3774.34</v>
      </c>
      <c r="AA10" s="2"/>
      <c r="AB10" s="32" t="s">
        <v>18</v>
      </c>
      <c r="AC10" s="28">
        <f>D14-AI8</f>
        <v>933</v>
      </c>
      <c r="AD10" s="2"/>
      <c r="AE10" t="s">
        <v>52</v>
      </c>
      <c r="AF10" s="2"/>
      <c r="AG10" s="2"/>
      <c r="AI10" s="2"/>
      <c r="AJ10" s="2"/>
      <c r="AL10" s="2"/>
    </row>
    <row r="11" spans="1:39" ht="15" thickBot="1" x14ac:dyDescent="0.4">
      <c r="A11" s="22">
        <v>44348</v>
      </c>
      <c r="B11" s="2">
        <v>1616.3</v>
      </c>
      <c r="C11" s="22">
        <v>44348</v>
      </c>
      <c r="D11" s="2">
        <f>3354+200</f>
        <v>3554</v>
      </c>
      <c r="E11" s="2">
        <f t="shared" si="2"/>
        <v>5170.3</v>
      </c>
      <c r="F11" s="22">
        <v>44348</v>
      </c>
      <c r="G11" s="2">
        <v>1618.72</v>
      </c>
      <c r="H11" s="2"/>
      <c r="I11" s="2">
        <f t="shared" si="3"/>
        <v>1618.72</v>
      </c>
      <c r="J11" s="25">
        <f t="shared" si="1"/>
        <v>6789.02</v>
      </c>
      <c r="K11" s="2"/>
      <c r="S11" s="31" t="s">
        <v>98</v>
      </c>
      <c r="T11" s="50">
        <v>3349.1</v>
      </c>
      <c r="U11" s="2"/>
      <c r="V11" s="31" t="s">
        <v>74</v>
      </c>
      <c r="W11" s="50">
        <v>3598.24</v>
      </c>
      <c r="X11" s="2"/>
      <c r="Y11" s="35">
        <v>44470</v>
      </c>
      <c r="Z11" s="28">
        <v>3492.27</v>
      </c>
      <c r="AA11" s="2"/>
      <c r="AB11" s="32" t="s">
        <v>19</v>
      </c>
      <c r="AC11" s="36">
        <v>2399.5</v>
      </c>
      <c r="AD11" s="2"/>
      <c r="AE11" t="s">
        <v>5</v>
      </c>
      <c r="AF11" s="2"/>
      <c r="AG11" s="2"/>
      <c r="AL11" s="2"/>
    </row>
    <row r="12" spans="1:39" ht="15" thickTop="1" x14ac:dyDescent="0.35">
      <c r="A12" s="22">
        <v>44378</v>
      </c>
      <c r="B12" s="2">
        <v>1218.5</v>
      </c>
      <c r="C12" s="22">
        <v>44378</v>
      </c>
      <c r="D12" s="2">
        <f>2376+130</f>
        <v>2506</v>
      </c>
      <c r="E12" s="2">
        <f t="shared" si="2"/>
        <v>3724.5</v>
      </c>
      <c r="F12" s="22">
        <v>44378</v>
      </c>
      <c r="G12" s="2">
        <v>2388.37</v>
      </c>
      <c r="H12" s="2"/>
      <c r="I12" s="2">
        <f t="shared" si="3"/>
        <v>2388.37</v>
      </c>
      <c r="J12" s="25">
        <f t="shared" si="1"/>
        <v>6112.87</v>
      </c>
      <c r="K12" s="2"/>
      <c r="O12" s="7"/>
      <c r="P12" s="2"/>
      <c r="S12" s="29" t="s">
        <v>106</v>
      </c>
      <c r="T12" s="28">
        <v>149.16999999999999</v>
      </c>
      <c r="U12" s="2"/>
      <c r="V12" s="31" t="s">
        <v>75</v>
      </c>
      <c r="W12" s="50">
        <v>3936</v>
      </c>
      <c r="X12" s="2"/>
      <c r="Y12" s="35">
        <v>44501</v>
      </c>
      <c r="Z12" s="28">
        <v>2147.85</v>
      </c>
      <c r="AA12" s="2"/>
      <c r="AB12" s="32"/>
      <c r="AC12" s="28">
        <f>SUM(AC2:AC11)</f>
        <v>18887.8</v>
      </c>
      <c r="AD12" s="2"/>
      <c r="AE12" t="s">
        <v>12</v>
      </c>
      <c r="AF12" s="2"/>
      <c r="AG12" s="2"/>
      <c r="AL12" s="2"/>
    </row>
    <row r="13" spans="1:39" x14ac:dyDescent="0.35">
      <c r="A13" s="22">
        <v>44409</v>
      </c>
      <c r="B13" s="2">
        <v>2470.5</v>
      </c>
      <c r="C13" s="22">
        <v>44409</v>
      </c>
      <c r="D13" s="2">
        <f>2007+140</f>
        <v>2147</v>
      </c>
      <c r="E13" s="2">
        <f t="shared" si="2"/>
        <v>4617.5</v>
      </c>
      <c r="F13" s="22">
        <v>44409</v>
      </c>
      <c r="G13" s="2">
        <v>3017.75</v>
      </c>
      <c r="H13" s="2"/>
      <c r="I13" s="2">
        <f t="shared" si="3"/>
        <v>3017.75</v>
      </c>
      <c r="J13" s="25">
        <f t="shared" si="1"/>
        <v>7635.25</v>
      </c>
      <c r="K13" s="2"/>
      <c r="S13" s="31" t="s">
        <v>99</v>
      </c>
      <c r="T13" s="50">
        <v>1975</v>
      </c>
      <c r="U13" s="2"/>
      <c r="V13" s="31" t="s">
        <v>76</v>
      </c>
      <c r="W13" s="50">
        <v>4111.45</v>
      </c>
      <c r="X13" s="2"/>
      <c r="Y13" s="35">
        <v>44531</v>
      </c>
      <c r="Z13" s="28">
        <v>3032.66</v>
      </c>
      <c r="AA13" s="2"/>
      <c r="AB13" s="32"/>
      <c r="AC13" s="30">
        <f>AC1-AC12</f>
        <v>-737.79999999999927</v>
      </c>
      <c r="AD13" s="2"/>
      <c r="AE13" t="s">
        <v>13</v>
      </c>
      <c r="AF13" s="2"/>
      <c r="AG13" s="2"/>
      <c r="AL13" s="2"/>
    </row>
    <row r="14" spans="1:39" x14ac:dyDescent="0.35">
      <c r="A14" s="22">
        <v>44440</v>
      </c>
      <c r="B14" s="2">
        <v>2399.5</v>
      </c>
      <c r="C14" s="22">
        <v>44440</v>
      </c>
      <c r="D14" s="2">
        <f>2292+240+125</f>
        <v>2657</v>
      </c>
      <c r="E14" s="2">
        <f t="shared" si="2"/>
        <v>5056.5</v>
      </c>
      <c r="F14" s="22">
        <v>44440</v>
      </c>
      <c r="G14" s="2">
        <v>3774.34</v>
      </c>
      <c r="H14" s="2"/>
      <c r="I14" s="2">
        <f t="shared" si="3"/>
        <v>3774.34</v>
      </c>
      <c r="J14" s="25">
        <f t="shared" si="1"/>
        <v>8830.84</v>
      </c>
      <c r="K14" s="2"/>
      <c r="S14" s="31" t="s">
        <v>100</v>
      </c>
      <c r="T14" s="50">
        <v>4829.05</v>
      </c>
      <c r="U14" s="2"/>
      <c r="V14" s="31" t="s">
        <v>77</v>
      </c>
      <c r="W14" s="50">
        <v>3921.32</v>
      </c>
      <c r="X14" s="2"/>
      <c r="Y14" s="29" t="s">
        <v>33</v>
      </c>
      <c r="Z14" s="30">
        <v>139.4</v>
      </c>
      <c r="AA14" s="2"/>
      <c r="AD14" s="2"/>
      <c r="AE14" s="2" t="s">
        <v>32</v>
      </c>
      <c r="AF14" s="2"/>
      <c r="AG14" s="2"/>
      <c r="AJ14" s="2"/>
      <c r="AL14" s="2"/>
    </row>
    <row r="15" spans="1:39" x14ac:dyDescent="0.35">
      <c r="A15" s="22">
        <v>44470</v>
      </c>
      <c r="B15" s="2">
        <v>1985.3</v>
      </c>
      <c r="C15" s="22">
        <v>44470</v>
      </c>
      <c r="D15" s="2">
        <f>3135+180</f>
        <v>3315</v>
      </c>
      <c r="E15" s="2">
        <f t="shared" si="2"/>
        <v>5300.3</v>
      </c>
      <c r="F15" s="22">
        <v>44470</v>
      </c>
      <c r="G15" s="2">
        <v>3492.27</v>
      </c>
      <c r="H15" s="2"/>
      <c r="I15" s="2">
        <f t="shared" si="3"/>
        <v>3492.27</v>
      </c>
      <c r="J15" s="25">
        <f t="shared" si="1"/>
        <v>8792.57</v>
      </c>
      <c r="K15" s="2"/>
      <c r="L15" s="2"/>
      <c r="M15" s="2"/>
      <c r="N15" s="2"/>
      <c r="Q15" s="2"/>
      <c r="R15" s="2"/>
      <c r="S15" s="43" t="s">
        <v>107</v>
      </c>
      <c r="T15" s="28">
        <v>243.96</v>
      </c>
      <c r="U15" s="2"/>
      <c r="V15" s="31" t="s">
        <v>78</v>
      </c>
      <c r="W15" s="50">
        <v>4320</v>
      </c>
      <c r="X15" s="2"/>
      <c r="Y15" s="29" t="s">
        <v>29</v>
      </c>
      <c r="Z15" s="28">
        <v>2112</v>
      </c>
      <c r="AA15" s="2"/>
      <c r="AB15" s="33" t="s">
        <v>62</v>
      </c>
      <c r="AC15" s="32"/>
      <c r="AD15" s="2"/>
      <c r="AE15" t="s">
        <v>31</v>
      </c>
      <c r="AF15" s="2"/>
      <c r="AG15" s="2"/>
      <c r="AJ15" s="2"/>
      <c r="AL15" s="2"/>
    </row>
    <row r="16" spans="1:39" ht="15.5" x14ac:dyDescent="0.35">
      <c r="A16" s="22">
        <v>44501</v>
      </c>
      <c r="B16" s="2">
        <v>2355.3000000000002</v>
      </c>
      <c r="C16" s="22">
        <v>44501</v>
      </c>
      <c r="D16" s="2">
        <f>1878+90</f>
        <v>1968</v>
      </c>
      <c r="E16" s="2">
        <f t="shared" si="2"/>
        <v>4323.3</v>
      </c>
      <c r="F16" s="22">
        <v>44501</v>
      </c>
      <c r="G16" s="2">
        <v>2147.85</v>
      </c>
      <c r="H16" s="2"/>
      <c r="I16" s="2">
        <f t="shared" si="3"/>
        <v>2147.85</v>
      </c>
      <c r="J16" s="25">
        <f t="shared" si="1"/>
        <v>6471.15</v>
      </c>
      <c r="K16" s="2"/>
      <c r="L16" s="2"/>
      <c r="M16" s="2"/>
      <c r="N16" s="2"/>
      <c r="Q16" s="2"/>
      <c r="R16" s="2"/>
      <c r="S16" s="31" t="s">
        <v>123</v>
      </c>
      <c r="T16" s="50">
        <v>1383</v>
      </c>
      <c r="U16" s="2"/>
      <c r="V16" s="31" t="s">
        <v>79</v>
      </c>
      <c r="W16" s="50">
        <v>4256</v>
      </c>
      <c r="X16" s="2"/>
      <c r="Y16" s="29" t="s">
        <v>34</v>
      </c>
      <c r="Z16" s="28">
        <v>2426.5300000000002</v>
      </c>
      <c r="AA16" s="2"/>
      <c r="AB16" s="26" t="s">
        <v>24</v>
      </c>
      <c r="AC16" s="38">
        <v>13150</v>
      </c>
      <c r="AD16" s="2"/>
      <c r="AE16" t="s">
        <v>56</v>
      </c>
      <c r="AF16" s="2"/>
      <c r="AG16" s="2"/>
      <c r="AJ16" s="2"/>
      <c r="AL16" s="2"/>
    </row>
    <row r="17" spans="1:38" x14ac:dyDescent="0.35">
      <c r="A17" s="22">
        <v>44531</v>
      </c>
      <c r="B17" s="2">
        <v>2112</v>
      </c>
      <c r="C17" s="22">
        <v>44531</v>
      </c>
      <c r="D17" s="2">
        <f>2628+180+120</f>
        <v>2928</v>
      </c>
      <c r="E17" s="2">
        <f t="shared" si="2"/>
        <v>5040</v>
      </c>
      <c r="F17" s="22">
        <v>44531</v>
      </c>
      <c r="G17" s="2">
        <v>3032.66</v>
      </c>
      <c r="H17" s="2"/>
      <c r="I17" s="2">
        <f t="shared" si="3"/>
        <v>3032.66</v>
      </c>
      <c r="J17" s="25">
        <f t="shared" si="1"/>
        <v>8072.66</v>
      </c>
      <c r="K17" s="2"/>
      <c r="L17" s="2"/>
      <c r="M17" s="2"/>
      <c r="N17" s="2"/>
      <c r="Q17" s="2"/>
      <c r="R17" s="2"/>
      <c r="S17" s="31" t="s">
        <v>124</v>
      </c>
      <c r="T17" s="50">
        <v>3878.9</v>
      </c>
      <c r="U17" s="2"/>
      <c r="V17" s="31" t="s">
        <v>80</v>
      </c>
      <c r="W17" s="50">
        <v>3738.53</v>
      </c>
      <c r="X17" s="2"/>
      <c r="Y17" s="29" t="s">
        <v>35</v>
      </c>
      <c r="Z17" s="28">
        <f>2184+180+125</f>
        <v>2489</v>
      </c>
      <c r="AA17" s="2"/>
      <c r="AB17" s="32" t="s">
        <v>30</v>
      </c>
      <c r="AC17" s="30">
        <v>737.8</v>
      </c>
      <c r="AD17" s="2"/>
      <c r="AF17" s="2"/>
      <c r="AG17" s="2"/>
      <c r="AJ17" s="2"/>
      <c r="AL17" s="2"/>
    </row>
    <row r="18" spans="1:38" x14ac:dyDescent="0.35">
      <c r="A18" s="22">
        <v>44562</v>
      </c>
      <c r="B18" s="2">
        <v>2484.9</v>
      </c>
      <c r="C18" s="22">
        <v>44562</v>
      </c>
      <c r="D18" s="2">
        <f>2184+180+125</f>
        <v>2489</v>
      </c>
      <c r="E18" s="2">
        <f t="shared" si="2"/>
        <v>4973.8999999999996</v>
      </c>
      <c r="F18" s="22">
        <v>44562</v>
      </c>
      <c r="G18" s="2">
        <v>2426.5300000000002</v>
      </c>
      <c r="H18" s="2"/>
      <c r="I18" s="2">
        <f t="shared" si="3"/>
        <v>2426.5300000000002</v>
      </c>
      <c r="J18" s="25">
        <f t="shared" si="1"/>
        <v>7400.43</v>
      </c>
      <c r="K18" s="2"/>
      <c r="L18" s="2"/>
      <c r="M18" s="2"/>
      <c r="N18" s="2"/>
      <c r="O18" s="7" t="s">
        <v>130</v>
      </c>
      <c r="P18" s="8">
        <v>2602.11</v>
      </c>
      <c r="Q18" s="2"/>
      <c r="R18" s="2"/>
      <c r="S18" s="29" t="s">
        <v>125</v>
      </c>
      <c r="T18" s="28">
        <v>449.49</v>
      </c>
      <c r="U18" s="2"/>
      <c r="V18" s="31" t="s">
        <v>81</v>
      </c>
      <c r="W18" s="50">
        <v>3588</v>
      </c>
      <c r="X18" s="2"/>
      <c r="Y18" s="29" t="s">
        <v>36</v>
      </c>
      <c r="Z18" s="28">
        <v>2484.9</v>
      </c>
      <c r="AA18" s="2"/>
      <c r="AB18" s="32" t="s">
        <v>20</v>
      </c>
      <c r="AC18" s="39">
        <f>3135+180</f>
        <v>3315</v>
      </c>
      <c r="AD18" s="2"/>
      <c r="AE18" s="2" t="s">
        <v>14</v>
      </c>
      <c r="AF18" s="2"/>
      <c r="AG18" s="2"/>
      <c r="AJ18" s="2"/>
      <c r="AL18" s="2"/>
    </row>
    <row r="19" spans="1:38" x14ac:dyDescent="0.35">
      <c r="A19" s="22">
        <v>44593</v>
      </c>
      <c r="B19" s="2">
        <v>4191.5</v>
      </c>
      <c r="C19" s="22">
        <v>44593</v>
      </c>
      <c r="D19" s="2">
        <f>3444+120</f>
        <v>3564</v>
      </c>
      <c r="E19" s="2">
        <f t="shared" si="2"/>
        <v>7755.5</v>
      </c>
      <c r="F19" s="22">
        <v>44593</v>
      </c>
      <c r="G19" s="2">
        <v>2872.53</v>
      </c>
      <c r="H19" s="2"/>
      <c r="I19" s="2">
        <f t="shared" si="3"/>
        <v>2872.53</v>
      </c>
      <c r="J19" s="25">
        <f t="shared" si="1"/>
        <v>10628.03</v>
      </c>
      <c r="K19" s="2"/>
      <c r="L19" s="2"/>
      <c r="M19" s="2"/>
      <c r="N19" s="2"/>
      <c r="O19" s="7" t="s">
        <v>131</v>
      </c>
      <c r="P19" s="2">
        <v>139.07</v>
      </c>
      <c r="Q19" s="2"/>
      <c r="R19" s="2"/>
      <c r="S19" s="43" t="s">
        <v>133</v>
      </c>
      <c r="T19" s="28">
        <v>2094.1</v>
      </c>
      <c r="U19" s="2"/>
      <c r="V19" s="31" t="s">
        <v>82</v>
      </c>
      <c r="W19" s="50">
        <v>4245.6499999999996</v>
      </c>
      <c r="X19" s="2"/>
      <c r="Y19" s="29" t="s">
        <v>37</v>
      </c>
      <c r="Z19" s="28">
        <v>2872.53</v>
      </c>
      <c r="AA19" s="2"/>
      <c r="AB19" s="32" t="s">
        <v>26</v>
      </c>
      <c r="AC19" s="28">
        <v>1985.3</v>
      </c>
      <c r="AD19" s="2"/>
      <c r="AE19" s="2"/>
      <c r="AF19" s="2"/>
      <c r="AG19" s="2"/>
      <c r="AJ19" s="2"/>
      <c r="AL19" s="2"/>
    </row>
    <row r="20" spans="1:38" x14ac:dyDescent="0.35">
      <c r="A20" s="22">
        <v>44621</v>
      </c>
      <c r="B20" s="2">
        <v>2801.3</v>
      </c>
      <c r="C20" s="22">
        <v>44621</v>
      </c>
      <c r="D20" s="2">
        <v>4890</v>
      </c>
      <c r="E20" s="2">
        <f t="shared" si="2"/>
        <v>7691.3</v>
      </c>
      <c r="F20" s="22">
        <v>44621</v>
      </c>
      <c r="G20" s="2">
        <v>4590.1099999999997</v>
      </c>
      <c r="H20" s="2"/>
      <c r="I20" s="2">
        <f t="shared" si="3"/>
        <v>4590.1099999999997</v>
      </c>
      <c r="J20" s="25">
        <f t="shared" si="1"/>
        <v>12281.41</v>
      </c>
      <c r="K20" s="2"/>
      <c r="L20" s="2"/>
      <c r="M20" s="2"/>
      <c r="N20" s="2"/>
      <c r="O20" s="6" t="s">
        <v>138</v>
      </c>
      <c r="P20" s="2">
        <v>2679.51</v>
      </c>
      <c r="Q20" s="2"/>
      <c r="R20" s="2"/>
      <c r="S20" s="43" t="s">
        <v>134</v>
      </c>
      <c r="T20" s="28">
        <v>1475</v>
      </c>
      <c r="U20" s="2"/>
      <c r="V20" s="31" t="s">
        <v>83</v>
      </c>
      <c r="W20" s="50">
        <v>3419.72</v>
      </c>
      <c r="X20" s="2"/>
      <c r="Y20" s="29" t="s">
        <v>38</v>
      </c>
      <c r="Z20" s="28">
        <f>3444+120</f>
        <v>3564</v>
      </c>
      <c r="AA20" s="2"/>
      <c r="AB20" s="32" t="s">
        <v>25</v>
      </c>
      <c r="AC20" s="28">
        <f>1878+90</f>
        <v>1968</v>
      </c>
      <c r="AD20" s="2"/>
      <c r="AE20" s="2" t="s">
        <v>53</v>
      </c>
      <c r="AF20" s="2"/>
      <c r="AG20" s="2"/>
      <c r="AJ20" s="2"/>
      <c r="AL20" s="2"/>
    </row>
    <row r="21" spans="1:38" x14ac:dyDescent="0.35">
      <c r="A21" s="22">
        <v>44652</v>
      </c>
      <c r="B21" s="2">
        <v>2654.5</v>
      </c>
      <c r="C21" s="22">
        <v>44652</v>
      </c>
      <c r="D21" s="2">
        <f>180+3276+120</f>
        <v>3576</v>
      </c>
      <c r="E21" s="2">
        <f t="shared" si="2"/>
        <v>6230.5</v>
      </c>
      <c r="F21" s="22">
        <v>44652</v>
      </c>
      <c r="G21" s="2">
        <v>5282.77</v>
      </c>
      <c r="H21" s="2"/>
      <c r="I21" s="2">
        <f t="shared" si="3"/>
        <v>5282.77</v>
      </c>
      <c r="J21" s="25">
        <f t="shared" si="1"/>
        <v>11513.27</v>
      </c>
      <c r="K21" s="2"/>
      <c r="L21" s="2"/>
      <c r="M21" s="2"/>
      <c r="N21" s="2"/>
      <c r="O21" s="6" t="s">
        <v>139</v>
      </c>
      <c r="P21" s="2">
        <v>0</v>
      </c>
      <c r="Q21" s="2"/>
      <c r="R21" s="2"/>
      <c r="S21" s="43" t="s">
        <v>131</v>
      </c>
      <c r="T21" s="28">
        <v>0</v>
      </c>
      <c r="U21" s="2"/>
      <c r="V21" s="31" t="s">
        <v>84</v>
      </c>
      <c r="W21" s="50">
        <f>1824+180</f>
        <v>2004</v>
      </c>
      <c r="X21" s="2"/>
      <c r="Y21" s="29" t="s">
        <v>39</v>
      </c>
      <c r="Z21" s="28">
        <v>4191.5</v>
      </c>
      <c r="AA21" s="2"/>
      <c r="AB21" s="32" t="s">
        <v>27</v>
      </c>
      <c r="AC21" s="28">
        <v>2355.3000000000002</v>
      </c>
      <c r="AD21" s="2"/>
      <c r="AE21" s="2" t="s">
        <v>54</v>
      </c>
      <c r="AF21" s="2"/>
      <c r="AG21" s="2"/>
      <c r="AJ21" s="2"/>
      <c r="AL21" s="2"/>
    </row>
    <row r="22" spans="1:38" ht="15" thickBot="1" x14ac:dyDescent="0.4">
      <c r="A22" s="22">
        <v>44682</v>
      </c>
      <c r="B22" s="2">
        <v>2374.1</v>
      </c>
      <c r="C22" s="22">
        <v>44682</v>
      </c>
      <c r="D22" s="2">
        <f>3692+180</f>
        <v>3872</v>
      </c>
      <c r="E22" s="2">
        <f t="shared" si="2"/>
        <v>6246.1</v>
      </c>
      <c r="F22" s="22">
        <v>44682</v>
      </c>
      <c r="G22" s="2">
        <v>6185.38</v>
      </c>
      <c r="H22" s="2"/>
      <c r="I22" s="2">
        <f t="shared" si="3"/>
        <v>6185.38</v>
      </c>
      <c r="J22" s="25">
        <f t="shared" si="1"/>
        <v>12431.48</v>
      </c>
      <c r="K22" s="2"/>
      <c r="L22" s="2"/>
      <c r="M22" s="2"/>
      <c r="N22" s="2"/>
      <c r="O22" s="6" t="s">
        <v>140</v>
      </c>
      <c r="P22" s="2">
        <v>3258.22</v>
      </c>
      <c r="Q22" s="2"/>
      <c r="R22" s="2"/>
      <c r="S22" s="43" t="s">
        <v>135</v>
      </c>
      <c r="T22" s="28">
        <v>4930.55</v>
      </c>
      <c r="U22" s="2"/>
      <c r="V22" s="31" t="s">
        <v>85</v>
      </c>
      <c r="W22" s="50">
        <v>2561.3000000000002</v>
      </c>
      <c r="X22" s="2"/>
      <c r="Y22" s="29" t="s">
        <v>40</v>
      </c>
      <c r="Z22" s="28">
        <v>4590.1099999999997</v>
      </c>
      <c r="AA22" s="2"/>
      <c r="AB22" s="32" t="s">
        <v>28</v>
      </c>
      <c r="AC22" s="36">
        <f>2628+180+120</f>
        <v>2928</v>
      </c>
      <c r="AD22" s="2"/>
      <c r="AF22" s="14"/>
      <c r="AG22" s="2"/>
      <c r="AJ22" s="2"/>
      <c r="AL22" s="2"/>
    </row>
    <row r="23" spans="1:38" ht="15" thickTop="1" x14ac:dyDescent="0.35">
      <c r="A23" s="22">
        <v>44713</v>
      </c>
      <c r="B23" s="2">
        <v>3507</v>
      </c>
      <c r="C23" s="22">
        <v>44713</v>
      </c>
      <c r="D23" s="2">
        <v>2770</v>
      </c>
      <c r="E23" s="2">
        <f t="shared" si="2"/>
        <v>6277</v>
      </c>
      <c r="F23" s="22">
        <v>44713</v>
      </c>
      <c r="G23" s="2">
        <v>4243.07</v>
      </c>
      <c r="H23" s="2"/>
      <c r="I23" s="2">
        <f t="shared" si="3"/>
        <v>4243.07</v>
      </c>
      <c r="J23" s="25">
        <f t="shared" si="1"/>
        <v>10520.07</v>
      </c>
      <c r="K23" s="2"/>
      <c r="L23" s="2"/>
      <c r="M23" s="2"/>
      <c r="N23" s="2"/>
      <c r="O23" s="6" t="s">
        <v>141</v>
      </c>
      <c r="P23" s="2">
        <v>0</v>
      </c>
      <c r="Q23" s="2"/>
      <c r="R23" s="2"/>
      <c r="S23" s="43" t="s">
        <v>136</v>
      </c>
      <c r="T23" s="28">
        <v>1416</v>
      </c>
      <c r="U23" s="2"/>
      <c r="V23" s="31" t="s">
        <v>88</v>
      </c>
      <c r="W23" s="50">
        <v>2975.65</v>
      </c>
      <c r="X23" s="2"/>
      <c r="Y23" s="29" t="s">
        <v>43</v>
      </c>
      <c r="Z23" s="28">
        <v>5282.78</v>
      </c>
      <c r="AA23" s="2"/>
      <c r="AB23" s="32"/>
      <c r="AC23" s="28">
        <f>SUM(AC17:AC22)</f>
        <v>13289.400000000001</v>
      </c>
      <c r="AD23" s="2"/>
      <c r="AE23" s="2" t="s">
        <v>86</v>
      </c>
      <c r="AG23" s="2"/>
      <c r="AJ23" s="2"/>
      <c r="AL23" s="2"/>
    </row>
    <row r="24" spans="1:38" x14ac:dyDescent="0.35">
      <c r="A24" s="53">
        <v>44743</v>
      </c>
      <c r="B24" s="54">
        <v>2371.4</v>
      </c>
      <c r="C24" s="53">
        <v>44743</v>
      </c>
      <c r="D24" s="54">
        <v>2178</v>
      </c>
      <c r="E24" s="48">
        <f t="shared" si="2"/>
        <v>4549.3999999999996</v>
      </c>
      <c r="F24" s="53">
        <v>44743</v>
      </c>
      <c r="G24" s="54">
        <v>4798.18</v>
      </c>
      <c r="H24" s="55"/>
      <c r="I24" s="48">
        <f t="shared" si="3"/>
        <v>4798.18</v>
      </c>
      <c r="J24" s="54">
        <f t="shared" si="1"/>
        <v>9347.58</v>
      </c>
      <c r="O24" s="6" t="s">
        <v>147</v>
      </c>
      <c r="P24" s="2">
        <v>3132.25</v>
      </c>
      <c r="S24" s="29" t="s">
        <v>137</v>
      </c>
      <c r="T24" s="28">
        <v>556.28</v>
      </c>
      <c r="V24" s="31" t="s">
        <v>89</v>
      </c>
      <c r="W24" s="50">
        <v>1183.1300000000001</v>
      </c>
      <c r="Y24" s="29" t="s">
        <v>46</v>
      </c>
      <c r="Z24" s="28">
        <v>6185.38</v>
      </c>
      <c r="AB24" s="32"/>
      <c r="AC24" s="30">
        <f>AC16-AC23</f>
        <v>-139.40000000000146</v>
      </c>
    </row>
    <row r="25" spans="1:38" ht="15.5" x14ac:dyDescent="0.35">
      <c r="A25" s="53">
        <v>44774</v>
      </c>
      <c r="B25" s="54">
        <v>2480.9499999999998</v>
      </c>
      <c r="C25" s="53">
        <v>44774</v>
      </c>
      <c r="D25" s="54">
        <v>4515</v>
      </c>
      <c r="E25" s="48">
        <f t="shared" si="2"/>
        <v>6995.95</v>
      </c>
      <c r="F25" s="53">
        <v>44774</v>
      </c>
      <c r="G25" s="54">
        <v>4578.6899999999996</v>
      </c>
      <c r="H25" s="55"/>
      <c r="I25" s="48">
        <f t="shared" si="3"/>
        <v>4578.6899999999996</v>
      </c>
      <c r="J25" s="54">
        <f t="shared" si="1"/>
        <v>11574.64</v>
      </c>
      <c r="O25" s="6" t="s">
        <v>146</v>
      </c>
      <c r="P25" s="2">
        <v>531.25</v>
      </c>
      <c r="S25" s="43" t="s">
        <v>142</v>
      </c>
      <c r="T25" s="28">
        <v>6244.95</v>
      </c>
      <c r="V25" s="29" t="s">
        <v>104</v>
      </c>
      <c r="W25" s="28">
        <v>136.24</v>
      </c>
      <c r="Y25" s="29" t="s">
        <v>49</v>
      </c>
      <c r="Z25" s="28">
        <v>4243.07</v>
      </c>
      <c r="AB25" s="15"/>
      <c r="AE25" s="18" t="s">
        <v>58</v>
      </c>
      <c r="AF25" s="2"/>
    </row>
    <row r="26" spans="1:38" ht="15" thickBot="1" x14ac:dyDescent="0.4">
      <c r="A26" s="53">
        <v>44805</v>
      </c>
      <c r="B26" s="54">
        <v>4111.45</v>
      </c>
      <c r="C26" s="53">
        <v>44805</v>
      </c>
      <c r="D26" s="54">
        <v>3936</v>
      </c>
      <c r="E26" s="48">
        <f t="shared" si="2"/>
        <v>8047.45</v>
      </c>
      <c r="F26" s="53">
        <v>44805</v>
      </c>
      <c r="G26" s="54">
        <v>3598.24</v>
      </c>
      <c r="H26" s="55"/>
      <c r="I26" s="48">
        <f t="shared" si="3"/>
        <v>3598.24</v>
      </c>
      <c r="J26" s="54">
        <f t="shared" si="1"/>
        <v>11645.689999999999</v>
      </c>
      <c r="O26" s="6" t="s">
        <v>148</v>
      </c>
      <c r="P26" s="2">
        <v>2574.0300000000002</v>
      </c>
      <c r="S26" s="43" t="s">
        <v>143</v>
      </c>
      <c r="T26" s="28">
        <v>2264</v>
      </c>
      <c r="V26" s="31" t="s">
        <v>90</v>
      </c>
      <c r="W26" s="50">
        <v>2326.15</v>
      </c>
      <c r="Y26" s="31" t="s">
        <v>67</v>
      </c>
      <c r="Z26" s="49">
        <v>4798.18</v>
      </c>
      <c r="AB26" s="33" t="s">
        <v>63</v>
      </c>
      <c r="AC26" s="32"/>
      <c r="AE26" s="17" t="s">
        <v>60</v>
      </c>
      <c r="AF26" s="2">
        <v>825</v>
      </c>
      <c r="AH26" s="10"/>
    </row>
    <row r="27" spans="1:38" ht="16" thickTop="1" x14ac:dyDescent="0.35">
      <c r="A27" s="53">
        <v>44835</v>
      </c>
      <c r="B27" s="54">
        <v>4256</v>
      </c>
      <c r="C27" s="53">
        <v>44835</v>
      </c>
      <c r="D27" s="54">
        <v>4320</v>
      </c>
      <c r="E27" s="48">
        <f t="shared" si="2"/>
        <v>8576</v>
      </c>
      <c r="F27" s="53">
        <v>44835</v>
      </c>
      <c r="G27" s="54">
        <v>3921.32</v>
      </c>
      <c r="H27" s="55"/>
      <c r="I27" s="48">
        <f t="shared" si="3"/>
        <v>3921.32</v>
      </c>
      <c r="J27" s="54">
        <f t="shared" si="1"/>
        <v>12497.32</v>
      </c>
      <c r="O27" s="6" t="s">
        <v>149</v>
      </c>
      <c r="P27" s="2">
        <v>272.23</v>
      </c>
      <c r="S27" s="29" t="s">
        <v>141</v>
      </c>
      <c r="T27" s="28">
        <v>0</v>
      </c>
      <c r="V27" s="29" t="s">
        <v>105</v>
      </c>
      <c r="W27" s="28">
        <v>408.72</v>
      </c>
      <c r="Y27" s="32"/>
      <c r="Z27" s="28">
        <f>SUM(Z2:Z26)</f>
        <v>75685.320000000007</v>
      </c>
      <c r="AB27" s="26" t="s">
        <v>55</v>
      </c>
      <c r="AC27" s="40">
        <f>3400+4967.2+14311</f>
        <v>22678.2</v>
      </c>
      <c r="AE27" s="17" t="s">
        <v>59</v>
      </c>
      <c r="AF27" s="8">
        <v>4950</v>
      </c>
    </row>
    <row r="28" spans="1:38" x14ac:dyDescent="0.35">
      <c r="A28" s="53">
        <v>44866</v>
      </c>
      <c r="B28" s="54">
        <v>4245.6499999999996</v>
      </c>
      <c r="C28" s="53">
        <v>44866</v>
      </c>
      <c r="D28" s="54">
        <v>3588</v>
      </c>
      <c r="E28" s="48">
        <f t="shared" si="2"/>
        <v>7833.65</v>
      </c>
      <c r="F28" s="53">
        <v>44866</v>
      </c>
      <c r="G28" s="54">
        <v>3738.53</v>
      </c>
      <c r="H28" s="55"/>
      <c r="I28" s="48">
        <f t="shared" si="3"/>
        <v>3738.53</v>
      </c>
      <c r="J28" s="54">
        <f t="shared" si="1"/>
        <v>11572.18</v>
      </c>
      <c r="O28" s="6" t="s">
        <v>154</v>
      </c>
      <c r="P28" s="2">
        <v>1820.48</v>
      </c>
      <c r="S28" s="43" t="s">
        <v>144</v>
      </c>
      <c r="T28" s="28">
        <v>4096.25</v>
      </c>
      <c r="V28" s="31" t="s">
        <v>101</v>
      </c>
      <c r="W28" s="50">
        <v>2154.34</v>
      </c>
      <c r="Y28" s="37"/>
      <c r="Z28" s="30">
        <f>Z1-Z27</f>
        <v>-4319.320000000007</v>
      </c>
      <c r="AB28" s="29" t="s">
        <v>41</v>
      </c>
      <c r="AC28" s="28">
        <v>4890</v>
      </c>
      <c r="AE28" s="51" t="s">
        <v>129</v>
      </c>
      <c r="AF28" s="52">
        <v>5775</v>
      </c>
    </row>
    <row r="29" spans="1:38" x14ac:dyDescent="0.35">
      <c r="A29" s="53">
        <v>44896</v>
      </c>
      <c r="B29" s="54">
        <v>2561.3000000000002</v>
      </c>
      <c r="C29" s="53">
        <v>44896</v>
      </c>
      <c r="D29" s="54">
        <f>1824+180</f>
        <v>2004</v>
      </c>
      <c r="E29" s="48">
        <f t="shared" si="2"/>
        <v>4565.3</v>
      </c>
      <c r="F29" s="53">
        <v>44896</v>
      </c>
      <c r="G29" s="54">
        <v>3419.72</v>
      </c>
      <c r="H29" s="55"/>
      <c r="I29" s="48">
        <f t="shared" si="3"/>
        <v>3419.72</v>
      </c>
      <c r="J29" s="54">
        <f t="shared" si="1"/>
        <v>7985.02</v>
      </c>
      <c r="O29" s="6" t="s">
        <v>155</v>
      </c>
      <c r="P29" s="2">
        <v>248.99</v>
      </c>
      <c r="S29" s="43" t="s">
        <v>145</v>
      </c>
      <c r="T29" s="28">
        <v>2357</v>
      </c>
      <c r="V29" s="29" t="s">
        <v>106</v>
      </c>
      <c r="W29" s="28">
        <v>0</v>
      </c>
      <c r="Y29" s="7"/>
      <c r="AB29" s="29" t="s">
        <v>42</v>
      </c>
      <c r="AC29" s="28">
        <v>2801.3</v>
      </c>
      <c r="AE29" s="13"/>
      <c r="AH29" s="10"/>
    </row>
    <row r="30" spans="1:38" x14ac:dyDescent="0.35">
      <c r="A30" s="53">
        <v>44927</v>
      </c>
      <c r="B30" s="54">
        <v>2992.35</v>
      </c>
      <c r="C30" s="53">
        <v>44927</v>
      </c>
      <c r="D30" s="54">
        <v>2864</v>
      </c>
      <c r="E30" s="48">
        <f t="shared" si="2"/>
        <v>5856.35</v>
      </c>
      <c r="F30" s="53">
        <v>44927</v>
      </c>
      <c r="G30" s="54">
        <v>2975.65</v>
      </c>
      <c r="H30" s="56"/>
      <c r="I30" s="48">
        <f t="shared" si="3"/>
        <v>2975.65</v>
      </c>
      <c r="J30" s="54">
        <f t="shared" si="1"/>
        <v>8832</v>
      </c>
      <c r="O30" s="6" t="s">
        <v>159</v>
      </c>
      <c r="P30" s="2">
        <v>2136.4699999999998</v>
      </c>
      <c r="S30" s="43" t="s">
        <v>146</v>
      </c>
      <c r="T30" s="28">
        <v>179.51</v>
      </c>
      <c r="V30" s="31" t="s">
        <v>102</v>
      </c>
      <c r="W30" s="50">
        <v>2423.7800000000002</v>
      </c>
      <c r="Z30" s="2"/>
      <c r="AB30" s="29" t="s">
        <v>44</v>
      </c>
      <c r="AC30" s="28">
        <f>180+3276+120</f>
        <v>3576</v>
      </c>
      <c r="AE30" s="11"/>
    </row>
    <row r="31" spans="1:38" ht="18.5" x14ac:dyDescent="0.45">
      <c r="A31" s="53">
        <v>44958</v>
      </c>
      <c r="B31" s="54">
        <v>2130</v>
      </c>
      <c r="C31" s="53">
        <v>44958</v>
      </c>
      <c r="D31" s="54">
        <v>1308</v>
      </c>
      <c r="E31" s="48">
        <f t="shared" si="2"/>
        <v>3438</v>
      </c>
      <c r="F31" s="53">
        <v>44958</v>
      </c>
      <c r="G31" s="54">
        <v>1183.1300000000001</v>
      </c>
      <c r="H31" s="48">
        <f>T6+W25</f>
        <v>541.66000000000008</v>
      </c>
      <c r="I31" s="48">
        <f t="shared" si="3"/>
        <v>1724.7900000000002</v>
      </c>
      <c r="J31" s="54">
        <f t="shared" si="1"/>
        <v>5162.79</v>
      </c>
      <c r="L31" t="s">
        <v>171</v>
      </c>
      <c r="M31" s="2">
        <v>1980.46</v>
      </c>
      <c r="N31" s="58"/>
      <c r="O31" s="6" t="s">
        <v>160</v>
      </c>
      <c r="P31" s="2">
        <v>0</v>
      </c>
      <c r="Q31" s="58"/>
      <c r="R31" s="58"/>
      <c r="S31" s="43" t="s">
        <v>150</v>
      </c>
      <c r="T31" s="28">
        <v>4782.5</v>
      </c>
      <c r="V31" s="29" t="s">
        <v>107</v>
      </c>
      <c r="W31" s="28">
        <v>58.49</v>
      </c>
      <c r="AB31" s="29" t="s">
        <v>45</v>
      </c>
      <c r="AC31" s="28">
        <v>2654.5</v>
      </c>
      <c r="AE31" s="12"/>
      <c r="AF31" s="2"/>
    </row>
    <row r="32" spans="1:38" x14ac:dyDescent="0.35">
      <c r="A32" s="53">
        <v>44986</v>
      </c>
      <c r="B32" s="54">
        <v>1590.3</v>
      </c>
      <c r="C32" s="53">
        <v>44986</v>
      </c>
      <c r="D32" s="54">
        <v>1644</v>
      </c>
      <c r="E32" s="48">
        <f t="shared" si="2"/>
        <v>3234.3</v>
      </c>
      <c r="F32" s="53">
        <v>44986</v>
      </c>
      <c r="G32" s="54">
        <v>2326.15</v>
      </c>
      <c r="H32" s="48">
        <f>T9+W27</f>
        <v>719.28</v>
      </c>
      <c r="I32" s="48">
        <f t="shared" si="3"/>
        <v>3045.4300000000003</v>
      </c>
      <c r="J32" s="54">
        <f t="shared" si="1"/>
        <v>6279.7300000000005</v>
      </c>
      <c r="L32" s="2" t="s">
        <v>172</v>
      </c>
      <c r="M32" s="2">
        <v>4026</v>
      </c>
      <c r="N32" s="2"/>
      <c r="O32" s="6" t="s">
        <v>202</v>
      </c>
      <c r="P32" s="2">
        <v>2096</v>
      </c>
      <c r="Q32" s="2"/>
      <c r="R32" s="2"/>
      <c r="S32" s="43" t="s">
        <v>151</v>
      </c>
      <c r="T32" s="28">
        <v>1782</v>
      </c>
      <c r="V32" s="31" t="s">
        <v>126</v>
      </c>
      <c r="W32" s="50">
        <v>2028.54</v>
      </c>
      <c r="AB32" s="29" t="s">
        <v>47</v>
      </c>
      <c r="AC32" s="28">
        <f>3692+180</f>
        <v>3872</v>
      </c>
      <c r="AE32" s="12"/>
    </row>
    <row r="33" spans="1:31" ht="15" thickBot="1" x14ac:dyDescent="0.4">
      <c r="A33" s="53">
        <v>45017</v>
      </c>
      <c r="B33" s="54">
        <v>3349.1</v>
      </c>
      <c r="C33" s="53">
        <v>45017</v>
      </c>
      <c r="D33" s="54">
        <v>2628</v>
      </c>
      <c r="E33" s="48">
        <f t="shared" si="2"/>
        <v>5977.1</v>
      </c>
      <c r="F33" s="53">
        <v>45017</v>
      </c>
      <c r="G33" s="54">
        <v>2154.34</v>
      </c>
      <c r="H33" s="48">
        <f>T12+W29</f>
        <v>149.16999999999999</v>
      </c>
      <c r="I33" s="48">
        <f t="shared" si="3"/>
        <v>2303.5100000000002</v>
      </c>
      <c r="J33" s="54">
        <f t="shared" si="1"/>
        <v>8280.61</v>
      </c>
      <c r="L33" s="2" t="s">
        <v>173</v>
      </c>
      <c r="M33" s="2">
        <v>7417.95</v>
      </c>
      <c r="N33" s="2"/>
      <c r="O33" s="6" t="s">
        <v>165</v>
      </c>
      <c r="P33" s="2">
        <v>2842.73</v>
      </c>
      <c r="Q33" s="2"/>
      <c r="R33" s="2"/>
      <c r="S33" s="43" t="s">
        <v>149</v>
      </c>
      <c r="T33" s="28">
        <v>210.2</v>
      </c>
      <c r="V33" s="29" t="s">
        <v>125</v>
      </c>
      <c r="W33" s="28">
        <v>288.76</v>
      </c>
      <c r="Z33" s="2"/>
      <c r="AB33" s="29" t="s">
        <v>48</v>
      </c>
      <c r="AC33" s="36">
        <v>2374.1</v>
      </c>
      <c r="AE33" s="12"/>
    </row>
    <row r="34" spans="1:31" ht="15" thickTop="1" x14ac:dyDescent="0.35">
      <c r="A34" s="53">
        <v>45047</v>
      </c>
      <c r="B34" s="54">
        <v>4829.05</v>
      </c>
      <c r="C34" s="53">
        <v>45047</v>
      </c>
      <c r="D34" s="54">
        <v>1975</v>
      </c>
      <c r="E34" s="48">
        <f t="shared" si="2"/>
        <v>6804.05</v>
      </c>
      <c r="F34" s="53">
        <v>45047</v>
      </c>
      <c r="G34" s="54">
        <v>2423.7800000000002</v>
      </c>
      <c r="H34" s="48">
        <f>T15+W31</f>
        <v>302.45</v>
      </c>
      <c r="I34" s="48">
        <f t="shared" si="3"/>
        <v>2726.23</v>
      </c>
      <c r="J34" s="54">
        <f t="shared" si="1"/>
        <v>9530.2800000000007</v>
      </c>
      <c r="L34" s="2" t="s">
        <v>174</v>
      </c>
      <c r="M34" s="2">
        <v>430.13</v>
      </c>
      <c r="N34" s="2"/>
      <c r="O34" s="6" t="s">
        <v>166</v>
      </c>
      <c r="P34" s="2">
        <v>221.79</v>
      </c>
      <c r="Q34" s="2"/>
      <c r="R34" s="2"/>
      <c r="S34" s="43" t="s">
        <v>156</v>
      </c>
      <c r="T34" s="28">
        <v>5304.95</v>
      </c>
      <c r="V34" s="50" t="s">
        <v>127</v>
      </c>
      <c r="W34" s="50">
        <v>5775</v>
      </c>
      <c r="AB34" s="32"/>
      <c r="AC34" s="28">
        <f>SUM(AC28:AC33)</f>
        <v>20167.899999999998</v>
      </c>
    </row>
    <row r="35" spans="1:31" x14ac:dyDescent="0.35">
      <c r="A35" s="53">
        <v>45078</v>
      </c>
      <c r="B35" s="54">
        <v>3878.9</v>
      </c>
      <c r="C35" s="53">
        <v>45078</v>
      </c>
      <c r="D35" s="54">
        <v>1383</v>
      </c>
      <c r="E35" s="48">
        <f t="shared" si="2"/>
        <v>5261.9</v>
      </c>
      <c r="F35" s="53">
        <v>45078</v>
      </c>
      <c r="G35" s="54">
        <v>2028.54</v>
      </c>
      <c r="H35" s="48">
        <f>T18+W33</f>
        <v>738.25</v>
      </c>
      <c r="I35" s="48">
        <f t="shared" si="3"/>
        <v>2766.79</v>
      </c>
      <c r="J35" s="54">
        <f t="shared" si="1"/>
        <v>8028.69</v>
      </c>
      <c r="L35" s="17" t="s">
        <v>181</v>
      </c>
      <c r="M35" s="2">
        <v>3020.04</v>
      </c>
      <c r="N35" s="2"/>
      <c r="O35" s="6" t="s">
        <v>167</v>
      </c>
      <c r="P35" s="2">
        <v>237.1</v>
      </c>
      <c r="Q35" s="2"/>
      <c r="R35" s="2"/>
      <c r="S35" s="43" t="s">
        <v>157</v>
      </c>
      <c r="T35" s="28">
        <v>1176</v>
      </c>
      <c r="V35" s="65" t="s">
        <v>203</v>
      </c>
      <c r="W35" s="73">
        <v>6873.45</v>
      </c>
      <c r="AB35" s="32"/>
      <c r="AC35" s="30">
        <v>2345.59</v>
      </c>
      <c r="AD35" s="2" t="s">
        <v>66</v>
      </c>
    </row>
    <row r="36" spans="1:31" ht="15" thickBot="1" x14ac:dyDescent="0.4">
      <c r="A36" s="22">
        <v>45108</v>
      </c>
      <c r="B36" s="2">
        <v>2094.1</v>
      </c>
      <c r="C36" s="22">
        <v>45108</v>
      </c>
      <c r="D36" s="2">
        <v>1475</v>
      </c>
      <c r="E36" s="2">
        <f t="shared" si="2"/>
        <v>3569.1</v>
      </c>
      <c r="F36" s="22">
        <v>45108</v>
      </c>
      <c r="G36" s="2">
        <v>2602.11</v>
      </c>
      <c r="H36" s="2">
        <f>T21+P19</f>
        <v>139.07</v>
      </c>
      <c r="I36" s="2">
        <f t="shared" si="3"/>
        <v>2741.1800000000003</v>
      </c>
      <c r="J36" s="25">
        <f t="shared" si="1"/>
        <v>6310.2800000000007</v>
      </c>
      <c r="L36" s="2" t="s">
        <v>175</v>
      </c>
      <c r="M36" s="2">
        <v>2066</v>
      </c>
      <c r="N36" s="2"/>
      <c r="O36" s="6" t="s">
        <v>174</v>
      </c>
      <c r="P36" s="2">
        <v>76.680000000000007</v>
      </c>
      <c r="Q36" s="2"/>
      <c r="R36" s="2"/>
      <c r="S36" s="43" t="s">
        <v>158</v>
      </c>
      <c r="T36" s="59">
        <v>134.19</v>
      </c>
      <c r="V36" s="32"/>
      <c r="W36" s="32"/>
      <c r="AB36" s="32"/>
      <c r="AC36" s="41">
        <v>33290.5</v>
      </c>
      <c r="AD36" t="s">
        <v>64</v>
      </c>
    </row>
    <row r="37" spans="1:31" ht="15" thickTop="1" x14ac:dyDescent="0.35">
      <c r="A37" s="22">
        <v>45139</v>
      </c>
      <c r="B37" s="2">
        <v>4930.55</v>
      </c>
      <c r="C37" s="22">
        <v>45139</v>
      </c>
      <c r="D37" s="2">
        <v>1416</v>
      </c>
      <c r="E37" s="2">
        <f t="shared" si="2"/>
        <v>6346.55</v>
      </c>
      <c r="F37" s="22">
        <v>45139</v>
      </c>
      <c r="G37" s="2">
        <v>2679.51</v>
      </c>
      <c r="H37" s="2">
        <f>T24+P21</f>
        <v>556.28</v>
      </c>
      <c r="I37" s="2">
        <f t="shared" si="3"/>
        <v>3235.79</v>
      </c>
      <c r="J37" s="25">
        <f t="shared" si="1"/>
        <v>9582.34</v>
      </c>
      <c r="L37" s="2" t="s">
        <v>176</v>
      </c>
      <c r="M37" s="2">
        <v>7837.6</v>
      </c>
      <c r="N37" s="2"/>
      <c r="O37" s="6" t="s">
        <v>177</v>
      </c>
      <c r="P37" s="2">
        <v>84.04</v>
      </c>
      <c r="Q37" s="2"/>
      <c r="R37" s="2"/>
      <c r="S37" s="43" t="s">
        <v>161</v>
      </c>
      <c r="T37" s="28">
        <v>3837.55</v>
      </c>
      <c r="V37" s="32"/>
      <c r="W37" s="32"/>
      <c r="AB37" s="32"/>
      <c r="AC37" s="30">
        <f>SUM(AC35:AC36)</f>
        <v>35636.089999999997</v>
      </c>
      <c r="AD37" t="s">
        <v>65</v>
      </c>
    </row>
    <row r="38" spans="1:31" x14ac:dyDescent="0.35">
      <c r="A38" s="22">
        <v>45170</v>
      </c>
      <c r="B38" s="2">
        <v>6244.95</v>
      </c>
      <c r="C38" s="22">
        <v>45170</v>
      </c>
      <c r="D38" s="2">
        <v>2264</v>
      </c>
      <c r="E38" s="2">
        <f t="shared" si="2"/>
        <v>8508.9500000000007</v>
      </c>
      <c r="F38" s="22">
        <v>45170</v>
      </c>
      <c r="G38" s="2">
        <v>3258.22</v>
      </c>
      <c r="H38" s="2">
        <f>T27+P23</f>
        <v>0</v>
      </c>
      <c r="I38" s="2">
        <f t="shared" si="3"/>
        <v>3258.22</v>
      </c>
      <c r="J38" s="25">
        <f t="shared" si="1"/>
        <v>11767.17</v>
      </c>
      <c r="L38" s="2" t="s">
        <v>177</v>
      </c>
      <c r="M38" s="2">
        <v>230.2</v>
      </c>
      <c r="N38" s="2"/>
      <c r="O38" s="7" t="s">
        <v>178</v>
      </c>
      <c r="P38" s="2">
        <v>2171.27</v>
      </c>
      <c r="Q38" s="2"/>
      <c r="R38" s="2"/>
      <c r="S38" s="43" t="s">
        <v>162</v>
      </c>
      <c r="T38" s="28">
        <v>0</v>
      </c>
      <c r="V38" s="32"/>
      <c r="W38" s="32"/>
      <c r="AB38" s="32"/>
      <c r="AC38" s="30"/>
    </row>
    <row r="39" spans="1:31" x14ac:dyDescent="0.35">
      <c r="A39" s="22">
        <v>45200</v>
      </c>
      <c r="B39" s="2">
        <v>4096.25</v>
      </c>
      <c r="C39" s="22">
        <v>45200</v>
      </c>
      <c r="D39" s="47">
        <v>2357</v>
      </c>
      <c r="E39" s="2">
        <f t="shared" si="2"/>
        <v>6453.25</v>
      </c>
      <c r="F39" s="22">
        <v>45200</v>
      </c>
      <c r="G39" s="2">
        <v>3132.95</v>
      </c>
      <c r="H39" s="2">
        <f>T30+P25</f>
        <v>710.76</v>
      </c>
      <c r="I39" s="2">
        <f t="shared" si="3"/>
        <v>3843.71</v>
      </c>
      <c r="J39" s="25">
        <f t="shared" si="1"/>
        <v>10296.959999999999</v>
      </c>
      <c r="L39" s="17" t="s">
        <v>182</v>
      </c>
      <c r="M39" s="2">
        <v>3545.89</v>
      </c>
      <c r="N39" s="2"/>
      <c r="O39" s="7" t="s">
        <v>179</v>
      </c>
      <c r="P39" s="2">
        <v>5457.1</v>
      </c>
      <c r="Q39" s="2"/>
      <c r="R39" s="2"/>
      <c r="S39" s="43" t="s">
        <v>160</v>
      </c>
      <c r="T39" s="28">
        <v>221.78</v>
      </c>
      <c r="V39" s="32"/>
      <c r="W39" s="32"/>
      <c r="AB39" s="32"/>
      <c r="AC39" s="30"/>
    </row>
    <row r="40" spans="1:31" x14ac:dyDescent="0.35">
      <c r="A40" s="22">
        <v>45231</v>
      </c>
      <c r="B40" s="2">
        <v>4782.5</v>
      </c>
      <c r="C40" s="22">
        <v>45231</v>
      </c>
      <c r="D40" s="2">
        <v>1782</v>
      </c>
      <c r="E40" s="2">
        <f t="shared" si="2"/>
        <v>6564.5</v>
      </c>
      <c r="F40" s="22">
        <v>45231</v>
      </c>
      <c r="G40" s="2">
        <v>2574.0300000000002</v>
      </c>
      <c r="H40" s="2">
        <f>T33+P27</f>
        <v>482.43</v>
      </c>
      <c r="I40" s="2">
        <f t="shared" si="3"/>
        <v>3056.46</v>
      </c>
      <c r="J40" s="25">
        <f t="shared" si="1"/>
        <v>9620.9599999999991</v>
      </c>
      <c r="L40" s="2" t="s">
        <v>178</v>
      </c>
      <c r="M40" s="2">
        <v>695.73</v>
      </c>
      <c r="N40" s="2"/>
      <c r="O40" s="6" t="s">
        <v>184</v>
      </c>
      <c r="P40" s="2">
        <v>3660.8</v>
      </c>
      <c r="Q40" s="2"/>
      <c r="R40" s="2"/>
      <c r="S40" s="43" t="s">
        <v>168</v>
      </c>
      <c r="T40" s="28">
        <v>3744.35</v>
      </c>
      <c r="V40" s="32"/>
      <c r="W40" s="32"/>
      <c r="AB40" s="32"/>
      <c r="AC40" s="30"/>
    </row>
    <row r="41" spans="1:31" x14ac:dyDescent="0.35">
      <c r="A41" s="22">
        <v>45261</v>
      </c>
      <c r="B41" s="2">
        <v>5304.95</v>
      </c>
      <c r="C41" s="22">
        <v>45261</v>
      </c>
      <c r="D41" s="2">
        <v>1176</v>
      </c>
      <c r="E41" s="2">
        <f t="shared" si="2"/>
        <v>6480.95</v>
      </c>
      <c r="F41" s="22">
        <v>45261</v>
      </c>
      <c r="G41" s="2">
        <v>1820.48</v>
      </c>
      <c r="H41" s="2">
        <f>T36+P29</f>
        <v>383.18</v>
      </c>
      <c r="I41" s="2">
        <f t="shared" si="3"/>
        <v>2203.66</v>
      </c>
      <c r="J41" s="25">
        <f t="shared" si="1"/>
        <v>8684.61</v>
      </c>
      <c r="L41" s="2"/>
      <c r="M41" s="2"/>
      <c r="N41" s="2"/>
      <c r="O41" s="6" t="s">
        <v>180</v>
      </c>
      <c r="P41" s="2">
        <v>370.47</v>
      </c>
      <c r="Q41" s="2"/>
      <c r="R41" s="2"/>
      <c r="S41" s="43" t="s">
        <v>169</v>
      </c>
      <c r="T41" s="28">
        <v>191.54</v>
      </c>
      <c r="V41" s="32"/>
      <c r="W41" s="32"/>
      <c r="AB41" s="32"/>
      <c r="AC41" s="30"/>
    </row>
    <row r="42" spans="1:31" x14ac:dyDescent="0.35">
      <c r="A42" s="22">
        <v>45292</v>
      </c>
      <c r="B42" s="2">
        <v>3837.55</v>
      </c>
      <c r="C42" s="22">
        <v>45292</v>
      </c>
      <c r="D42" s="47">
        <v>2096</v>
      </c>
      <c r="E42" s="2">
        <f t="shared" ref="E42" si="4">B42+D42</f>
        <v>5933.55</v>
      </c>
      <c r="F42" s="22">
        <v>45292</v>
      </c>
      <c r="G42" s="2">
        <v>2136.4699999999998</v>
      </c>
      <c r="H42" s="2">
        <f>P31+T39</f>
        <v>221.78</v>
      </c>
      <c r="I42" s="2">
        <f t="shared" ref="I42" si="5">G42+H42</f>
        <v>2358.25</v>
      </c>
      <c r="J42" s="25">
        <f t="shared" ref="J42" si="6">E42+I42</f>
        <v>8291.7999999999993</v>
      </c>
      <c r="L42" s="2"/>
      <c r="M42" s="2"/>
      <c r="N42" s="2"/>
      <c r="O42" s="6" t="s">
        <v>186</v>
      </c>
      <c r="P42" s="2">
        <v>3864</v>
      </c>
      <c r="Q42" s="2"/>
      <c r="R42" s="2"/>
      <c r="S42" s="43" t="s">
        <v>166</v>
      </c>
      <c r="T42" s="28">
        <v>0</v>
      </c>
      <c r="V42" s="32"/>
      <c r="W42" s="32"/>
      <c r="AB42" s="32"/>
      <c r="AC42" s="30"/>
    </row>
    <row r="43" spans="1:31" ht="29" x14ac:dyDescent="0.35">
      <c r="A43" s="22">
        <v>45323</v>
      </c>
      <c r="B43" s="2">
        <f>T40+P35</f>
        <v>3981.45</v>
      </c>
      <c r="C43" s="22">
        <v>45323</v>
      </c>
      <c r="D43" s="47">
        <f>T41+M31</f>
        <v>2172</v>
      </c>
      <c r="E43" s="2">
        <f t="shared" si="2"/>
        <v>6153.45</v>
      </c>
      <c r="F43" s="22">
        <v>45323</v>
      </c>
      <c r="G43" s="2">
        <f>P33</f>
        <v>2842.73</v>
      </c>
      <c r="H43" s="2">
        <f>P34+T42</f>
        <v>221.79</v>
      </c>
      <c r="I43" s="2">
        <f t="shared" ref="I43:I51" si="7">G43+H43</f>
        <v>3064.52</v>
      </c>
      <c r="J43" s="25">
        <f t="shared" ref="J43:J51" si="8">E43+I43</f>
        <v>9217.9699999999993</v>
      </c>
      <c r="L43" s="2"/>
      <c r="M43" s="2"/>
      <c r="N43" s="2"/>
      <c r="O43" s="6" t="s">
        <v>187</v>
      </c>
      <c r="P43" s="2">
        <v>5564.95</v>
      </c>
      <c r="Q43" s="2"/>
      <c r="R43" s="2"/>
      <c r="S43" s="60" t="s">
        <v>170</v>
      </c>
      <c r="T43" s="28">
        <v>5775</v>
      </c>
      <c r="V43" s="32"/>
      <c r="W43" s="32"/>
      <c r="AB43" s="32"/>
      <c r="AC43" s="30"/>
    </row>
    <row r="44" spans="1:31" x14ac:dyDescent="0.35">
      <c r="A44" s="22">
        <v>45352</v>
      </c>
      <c r="B44" s="2">
        <f>M33</f>
        <v>7417.95</v>
      </c>
      <c r="C44" s="22">
        <v>45352</v>
      </c>
      <c r="D44" s="47">
        <f>M32</f>
        <v>4026</v>
      </c>
      <c r="E44" s="2">
        <f t="shared" si="2"/>
        <v>11443.95</v>
      </c>
      <c r="F44" s="22">
        <v>45352</v>
      </c>
      <c r="G44" s="2">
        <f>M35</f>
        <v>3020.04</v>
      </c>
      <c r="H44" s="2">
        <f>P36+M34</f>
        <v>506.81</v>
      </c>
      <c r="I44" s="2">
        <f t="shared" si="7"/>
        <v>3526.85</v>
      </c>
      <c r="J44" s="25">
        <f t="shared" si="8"/>
        <v>14970.800000000001</v>
      </c>
      <c r="L44" s="2"/>
      <c r="M44" s="2"/>
      <c r="O44" s="6" t="s">
        <v>188</v>
      </c>
      <c r="P44" s="2">
        <v>4792.34</v>
      </c>
      <c r="S44" s="60"/>
      <c r="T44" s="28"/>
      <c r="V44" s="32"/>
      <c r="W44" s="32"/>
      <c r="AB44" s="32"/>
      <c r="AC44" s="30"/>
    </row>
    <row r="45" spans="1:31" x14ac:dyDescent="0.35">
      <c r="A45" s="22">
        <v>45383</v>
      </c>
      <c r="B45" s="2">
        <v>7837.6</v>
      </c>
      <c r="C45" s="22">
        <v>45383</v>
      </c>
      <c r="D45" s="2">
        <v>2066</v>
      </c>
      <c r="E45" s="2">
        <f t="shared" si="2"/>
        <v>9903.6</v>
      </c>
      <c r="F45" s="22">
        <v>45383</v>
      </c>
      <c r="G45" s="2">
        <v>3545.89</v>
      </c>
      <c r="H45" s="47">
        <v>314.24</v>
      </c>
      <c r="I45" s="2">
        <f t="shared" si="7"/>
        <v>3860.13</v>
      </c>
      <c r="J45" s="25">
        <f t="shared" si="8"/>
        <v>13763.73</v>
      </c>
      <c r="O45" s="6" t="s">
        <v>189</v>
      </c>
      <c r="P45" s="2">
        <v>162.30000000000001</v>
      </c>
      <c r="S45" s="60"/>
      <c r="T45" s="28"/>
      <c r="V45" s="32"/>
      <c r="W45" s="32"/>
      <c r="AB45" s="32"/>
      <c r="AC45" s="30"/>
    </row>
    <row r="46" spans="1:31" x14ac:dyDescent="0.35">
      <c r="A46" s="22">
        <v>45413</v>
      </c>
      <c r="B46" s="2">
        <f>P39</f>
        <v>5457.1</v>
      </c>
      <c r="C46" s="22">
        <v>45413</v>
      </c>
      <c r="D46" s="47">
        <f>M40+P38</f>
        <v>2867</v>
      </c>
      <c r="E46" s="2">
        <f t="shared" ref="E46:E51" si="9">B46+D46</f>
        <v>8324.1</v>
      </c>
      <c r="F46" s="22">
        <v>45413</v>
      </c>
      <c r="G46" s="2">
        <f>P40</f>
        <v>3660.8</v>
      </c>
      <c r="H46" s="2">
        <f>P41</f>
        <v>370.47</v>
      </c>
      <c r="I46" s="2">
        <f t="shared" si="7"/>
        <v>4031.2700000000004</v>
      </c>
      <c r="J46" s="25">
        <f t="shared" si="8"/>
        <v>12355.37</v>
      </c>
      <c r="L46" s="9"/>
      <c r="M46" s="9"/>
      <c r="O46" s="6" t="s">
        <v>190</v>
      </c>
      <c r="P46" s="8">
        <v>3122</v>
      </c>
      <c r="S46" s="32"/>
      <c r="T46" s="32"/>
      <c r="V46" s="32"/>
      <c r="W46" s="32"/>
      <c r="AB46" s="32"/>
      <c r="AC46" s="30"/>
    </row>
    <row r="47" spans="1:31" x14ac:dyDescent="0.35">
      <c r="A47" s="22">
        <v>45444</v>
      </c>
      <c r="B47" s="2">
        <f>P43</f>
        <v>5564.95</v>
      </c>
      <c r="C47" s="22">
        <v>45444</v>
      </c>
      <c r="D47" s="47">
        <f>P42</f>
        <v>3864</v>
      </c>
      <c r="E47" s="2">
        <f t="shared" si="9"/>
        <v>9428.9500000000007</v>
      </c>
      <c r="F47" s="22">
        <v>45444</v>
      </c>
      <c r="G47" s="2">
        <f>P44</f>
        <v>4792.34</v>
      </c>
      <c r="H47" s="2">
        <f>P45</f>
        <v>162.30000000000001</v>
      </c>
      <c r="I47" s="2">
        <f t="shared" si="7"/>
        <v>4954.6400000000003</v>
      </c>
      <c r="J47" s="25">
        <f t="shared" si="8"/>
        <v>14383.59</v>
      </c>
      <c r="L47" s="9"/>
      <c r="M47" s="9"/>
      <c r="O47" s="6" t="s">
        <v>191</v>
      </c>
      <c r="P47" s="2">
        <v>8669.9</v>
      </c>
      <c r="S47" s="32"/>
      <c r="T47" s="32"/>
      <c r="V47" s="32"/>
      <c r="W47" s="32"/>
      <c r="AB47" s="32"/>
      <c r="AC47" s="30"/>
    </row>
    <row r="48" spans="1:31" x14ac:dyDescent="0.35">
      <c r="A48" s="22">
        <v>45474</v>
      </c>
      <c r="B48" s="77">
        <f>P47</f>
        <v>8669.9</v>
      </c>
      <c r="C48" s="22">
        <v>45474</v>
      </c>
      <c r="D48" s="77">
        <f>P46</f>
        <v>3122</v>
      </c>
      <c r="E48" s="2">
        <f t="shared" si="9"/>
        <v>11791.9</v>
      </c>
      <c r="F48" s="22">
        <v>45474</v>
      </c>
      <c r="G48" s="77">
        <f>P48</f>
        <v>3323.87</v>
      </c>
      <c r="H48" s="2">
        <f>P49</f>
        <v>194.77</v>
      </c>
      <c r="I48" s="2">
        <f t="shared" si="7"/>
        <v>3518.64</v>
      </c>
      <c r="J48" s="25">
        <f t="shared" si="8"/>
        <v>15310.539999999999</v>
      </c>
      <c r="L48" s="9"/>
      <c r="M48" s="9"/>
      <c r="O48" s="6" t="s">
        <v>192</v>
      </c>
      <c r="P48" s="2">
        <v>3323.87</v>
      </c>
      <c r="S48" s="32"/>
      <c r="T48" s="32"/>
      <c r="V48" s="32"/>
      <c r="W48" s="32"/>
      <c r="AB48" s="32"/>
      <c r="AC48" s="30"/>
    </row>
    <row r="49" spans="1:29" x14ac:dyDescent="0.35">
      <c r="A49" s="22">
        <v>45505</v>
      </c>
      <c r="B49" s="2">
        <f>P51</f>
        <v>5946.85</v>
      </c>
      <c r="C49" s="22">
        <v>45505</v>
      </c>
      <c r="D49" s="47">
        <f>P50</f>
        <v>3641</v>
      </c>
      <c r="E49" s="2">
        <f t="shared" si="9"/>
        <v>9587.85</v>
      </c>
      <c r="F49" s="22">
        <v>45505</v>
      </c>
      <c r="G49" s="2">
        <f>P52</f>
        <v>3674.45</v>
      </c>
      <c r="H49" s="2">
        <f>P53</f>
        <v>0</v>
      </c>
      <c r="I49" s="2">
        <f t="shared" si="7"/>
        <v>3674.45</v>
      </c>
      <c r="J49" s="25">
        <f t="shared" si="8"/>
        <v>13262.3</v>
      </c>
      <c r="L49" s="9"/>
      <c r="M49" s="9"/>
      <c r="O49" s="6" t="s">
        <v>193</v>
      </c>
      <c r="P49">
        <v>194.77</v>
      </c>
      <c r="S49" s="32"/>
      <c r="T49" s="32"/>
      <c r="V49" s="32"/>
      <c r="W49" s="32"/>
      <c r="AB49" s="32"/>
      <c r="AC49" s="30"/>
    </row>
    <row r="50" spans="1:29" x14ac:dyDescent="0.35">
      <c r="A50" s="22">
        <v>45536</v>
      </c>
      <c r="B50" s="2">
        <f>W35</f>
        <v>6873.45</v>
      </c>
      <c r="C50" s="22">
        <v>45536</v>
      </c>
      <c r="D50" s="47">
        <f>P54</f>
        <v>2370</v>
      </c>
      <c r="E50" s="2">
        <f t="shared" si="9"/>
        <v>9243.4500000000007</v>
      </c>
      <c r="F50" s="22">
        <v>45536</v>
      </c>
      <c r="G50" s="2">
        <f>P55</f>
        <v>3214.92</v>
      </c>
      <c r="H50" s="2">
        <f>P56</f>
        <v>0</v>
      </c>
      <c r="I50" s="2">
        <f t="shared" si="7"/>
        <v>3214.92</v>
      </c>
      <c r="J50" s="25">
        <f t="shared" si="8"/>
        <v>12458.37</v>
      </c>
      <c r="L50" s="9"/>
      <c r="M50" s="9"/>
      <c r="O50" s="6" t="s">
        <v>195</v>
      </c>
      <c r="P50" s="2">
        <v>3641</v>
      </c>
      <c r="S50" s="32"/>
      <c r="T50" s="32"/>
      <c r="V50" s="32"/>
      <c r="W50" s="32"/>
      <c r="AB50" s="32"/>
      <c r="AC50" s="30"/>
    </row>
    <row r="51" spans="1:29" x14ac:dyDescent="0.35">
      <c r="A51" s="62">
        <v>45566</v>
      </c>
      <c r="B51" s="19">
        <v>6083.85</v>
      </c>
      <c r="C51" s="62">
        <v>45566</v>
      </c>
      <c r="D51" s="63">
        <v>3088</v>
      </c>
      <c r="E51" s="19">
        <f t="shared" si="9"/>
        <v>9171.85</v>
      </c>
      <c r="F51" s="62">
        <v>45566</v>
      </c>
      <c r="G51" s="19">
        <v>3322.21</v>
      </c>
      <c r="H51" s="19">
        <v>0</v>
      </c>
      <c r="I51" s="19">
        <f t="shared" si="7"/>
        <v>3322.21</v>
      </c>
      <c r="J51" s="24">
        <f t="shared" si="8"/>
        <v>12494.060000000001</v>
      </c>
      <c r="L51" s="9"/>
      <c r="M51" s="9"/>
      <c r="O51" s="6" t="s">
        <v>196</v>
      </c>
      <c r="P51" s="2">
        <v>5946.85</v>
      </c>
      <c r="S51" s="32"/>
      <c r="T51" s="32"/>
      <c r="V51" s="32"/>
      <c r="W51" s="32"/>
      <c r="AB51" s="32"/>
      <c r="AC51" s="30"/>
    </row>
    <row r="52" spans="1:29" x14ac:dyDescent="0.35">
      <c r="A52" s="22"/>
      <c r="B52" s="2"/>
      <c r="C52" s="22"/>
      <c r="D52" s="47"/>
      <c r="E52" s="2"/>
      <c r="F52" s="22"/>
      <c r="G52" s="2"/>
      <c r="H52" s="2"/>
      <c r="I52" s="2"/>
      <c r="J52" s="25"/>
      <c r="L52" s="9"/>
      <c r="M52" s="9"/>
      <c r="O52" s="6" t="s">
        <v>197</v>
      </c>
      <c r="P52" s="2">
        <v>3674.45</v>
      </c>
      <c r="S52" s="32"/>
      <c r="T52" s="32"/>
      <c r="V52" s="32"/>
      <c r="W52" s="32"/>
      <c r="AB52" s="32"/>
      <c r="AC52" s="30"/>
    </row>
    <row r="53" spans="1:29" x14ac:dyDescent="0.35">
      <c r="A53" s="22"/>
      <c r="B53" s="2"/>
      <c r="C53" s="22"/>
      <c r="D53" s="47"/>
      <c r="E53" s="2"/>
      <c r="F53" s="22"/>
      <c r="G53" s="2"/>
      <c r="H53" s="2"/>
      <c r="I53" s="2"/>
      <c r="J53" s="25"/>
      <c r="L53" s="9"/>
      <c r="M53" s="9"/>
      <c r="O53" s="6" t="s">
        <v>198</v>
      </c>
      <c r="P53">
        <v>0</v>
      </c>
      <c r="S53" s="32"/>
      <c r="T53" s="32"/>
      <c r="V53" s="32"/>
      <c r="W53" s="32"/>
      <c r="AB53" s="32"/>
      <c r="AC53" s="30"/>
    </row>
    <row r="54" spans="1:29" x14ac:dyDescent="0.35">
      <c r="A54" s="22"/>
      <c r="B54" s="2"/>
      <c r="C54" s="22"/>
      <c r="D54" s="47"/>
      <c r="E54" s="2"/>
      <c r="F54" s="22"/>
      <c r="G54" s="2"/>
      <c r="H54" s="2"/>
      <c r="I54" s="2"/>
      <c r="J54" s="25"/>
      <c r="L54" s="9"/>
      <c r="M54" s="9"/>
      <c r="O54" s="6" t="s">
        <v>199</v>
      </c>
      <c r="P54" s="2">
        <v>2370</v>
      </c>
      <c r="S54" s="32"/>
      <c r="T54" s="32"/>
      <c r="V54" s="32"/>
      <c r="W54" s="32"/>
      <c r="AB54" s="32"/>
      <c r="AC54" s="30"/>
    </row>
    <row r="55" spans="1:29" x14ac:dyDescent="0.35">
      <c r="L55" s="9"/>
      <c r="M55" s="9"/>
      <c r="O55" s="6" t="s">
        <v>200</v>
      </c>
      <c r="P55" s="2">
        <v>3214.92</v>
      </c>
      <c r="S55" s="32"/>
      <c r="T55" s="32"/>
    </row>
    <row r="56" spans="1:29" x14ac:dyDescent="0.35">
      <c r="L56" s="9"/>
      <c r="M56" s="9"/>
      <c r="O56" s="6" t="s">
        <v>201</v>
      </c>
      <c r="P56" s="2">
        <v>0</v>
      </c>
      <c r="S56" s="32"/>
      <c r="T56" s="32"/>
    </row>
    <row r="57" spans="1:29" x14ac:dyDescent="0.35">
      <c r="L57" s="9"/>
      <c r="M57" s="9"/>
      <c r="O57" s="23" t="s">
        <v>205</v>
      </c>
      <c r="P57" s="19">
        <v>3088</v>
      </c>
      <c r="S57" s="32"/>
      <c r="T57" s="32"/>
    </row>
    <row r="58" spans="1:29" x14ac:dyDescent="0.35">
      <c r="L58" s="9"/>
      <c r="M58" s="9"/>
      <c r="O58" s="23" t="s">
        <v>206</v>
      </c>
      <c r="P58" s="19">
        <v>6083.85</v>
      </c>
      <c r="S58" s="32"/>
      <c r="T58" s="32"/>
    </row>
    <row r="59" spans="1:29" x14ac:dyDescent="0.35">
      <c r="L59" s="9"/>
      <c r="M59" s="9"/>
      <c r="O59" s="23" t="s">
        <v>207</v>
      </c>
      <c r="P59" s="73">
        <v>3322.21</v>
      </c>
      <c r="S59" s="32"/>
      <c r="T59" s="32"/>
    </row>
    <row r="60" spans="1:29" x14ac:dyDescent="0.35">
      <c r="L60" s="9"/>
      <c r="M60" s="9"/>
      <c r="O60" s="23" t="s">
        <v>208</v>
      </c>
      <c r="P60" s="19">
        <v>0</v>
      </c>
      <c r="S60" s="32"/>
      <c r="T60" s="32"/>
    </row>
    <row r="61" spans="1:29" x14ac:dyDescent="0.35">
      <c r="A61" s="46" t="s">
        <v>209</v>
      </c>
      <c r="B61" s="21"/>
      <c r="C61" s="21"/>
      <c r="D61" s="24">
        <f>SUM(J40:J51)</f>
        <v>144814.09999999998</v>
      </c>
      <c r="E61" s="24"/>
      <c r="F61" s="46" t="s">
        <v>210</v>
      </c>
      <c r="G61" s="21"/>
      <c r="H61" s="21"/>
      <c r="I61" s="21"/>
      <c r="J61" s="24">
        <f>D61/12</f>
        <v>12067.841666666665</v>
      </c>
      <c r="L61" s="44" t="s">
        <v>120</v>
      </c>
      <c r="M61" s="24">
        <f>SUM(M15:M48)</f>
        <v>31250</v>
      </c>
      <c r="O61" s="44" t="s">
        <v>120</v>
      </c>
      <c r="P61" s="45">
        <f>SUM(P12:P60)</f>
        <v>97648.000000000029</v>
      </c>
      <c r="S61" s="31" t="s">
        <v>120</v>
      </c>
      <c r="T61" s="50">
        <f>SUM(T2:T43)</f>
        <v>84904</v>
      </c>
      <c r="V61" s="75" t="s">
        <v>120</v>
      </c>
      <c r="W61" s="52">
        <f>SUM(W2:W35)</f>
        <v>99911.819999999978</v>
      </c>
    </row>
    <row r="62" spans="1:29" x14ac:dyDescent="0.35">
      <c r="A62" s="9" t="s">
        <v>211</v>
      </c>
      <c r="B62" s="9"/>
      <c r="C62" s="9"/>
      <c r="L62" s="69"/>
      <c r="M62" s="69"/>
      <c r="N62" s="70"/>
      <c r="O62" s="71" t="s">
        <v>204</v>
      </c>
      <c r="P62" s="72">
        <f>31250+W63+T63</f>
        <v>33434.180000000022</v>
      </c>
      <c r="S62" s="32"/>
      <c r="T62" s="32"/>
    </row>
    <row r="63" spans="1:29" x14ac:dyDescent="0.35">
      <c r="A63" s="21"/>
      <c r="B63" s="44" t="s">
        <v>118</v>
      </c>
      <c r="C63" s="46">
        <v>306</v>
      </c>
      <c r="D63" s="21" t="s">
        <v>212</v>
      </c>
      <c r="L63" s="46" t="s">
        <v>108</v>
      </c>
      <c r="M63" s="45">
        <f>M1-M61</f>
        <v>0</v>
      </c>
      <c r="O63" s="46" t="s">
        <v>108</v>
      </c>
      <c r="P63" s="45">
        <f>P1-P61+P62</f>
        <v>85786.18</v>
      </c>
      <c r="S63" s="33" t="s">
        <v>108</v>
      </c>
      <c r="T63" s="74">
        <f>T1-T61</f>
        <v>2096</v>
      </c>
      <c r="V63" s="9" t="s">
        <v>108</v>
      </c>
      <c r="W63" s="52">
        <f>W1-W61</f>
        <v>88.180000000022119</v>
      </c>
    </row>
    <row r="64" spans="1:29" x14ac:dyDescent="0.35">
      <c r="A64" s="21"/>
      <c r="B64" s="44" t="s">
        <v>119</v>
      </c>
      <c r="C64" s="46">
        <v>288</v>
      </c>
      <c r="D64" s="21" t="s">
        <v>213</v>
      </c>
      <c r="L64" s="21"/>
      <c r="M64" s="21"/>
      <c r="O64" s="21"/>
      <c r="P64" s="21"/>
      <c r="S64" s="32"/>
      <c r="T64" s="32"/>
    </row>
    <row r="65" spans="1:26" x14ac:dyDescent="0.35">
      <c r="A65" s="21"/>
      <c r="B65" s="44" t="s">
        <v>152</v>
      </c>
      <c r="C65" s="46">
        <v>126</v>
      </c>
      <c r="D65" s="21"/>
      <c r="L65" s="21"/>
      <c r="M65" s="21"/>
      <c r="O65" s="44" t="s">
        <v>185</v>
      </c>
      <c r="P65" s="19">
        <f>AVERAGE(J46:J51)</f>
        <v>13377.371666666666</v>
      </c>
      <c r="S65" s="29" t="s">
        <v>109</v>
      </c>
      <c r="T65" s="28">
        <f>AVERAGE(E38:E43)</f>
        <v>6682.4416666666666</v>
      </c>
    </row>
    <row r="66" spans="1:26" x14ac:dyDescent="0.35">
      <c r="A66" s="21"/>
      <c r="B66" s="44" t="s">
        <v>153</v>
      </c>
      <c r="C66" s="46">
        <f>C63+C64-C65</f>
        <v>468</v>
      </c>
      <c r="D66" s="21"/>
      <c r="L66" s="21"/>
      <c r="M66" s="21"/>
      <c r="O66" s="65" t="s">
        <v>110</v>
      </c>
      <c r="P66" s="66">
        <f>P63/P65</f>
        <v>6.4127828797460582</v>
      </c>
      <c r="S66" s="29" t="s">
        <v>110</v>
      </c>
      <c r="T66" s="61">
        <f>T63/T65</f>
        <v>0.31365780721368064</v>
      </c>
    </row>
    <row r="67" spans="1:26" x14ac:dyDescent="0.35">
      <c r="L67" s="21"/>
      <c r="M67" s="21"/>
      <c r="O67" s="65" t="s">
        <v>111</v>
      </c>
      <c r="P67" s="67">
        <f>A51+(P66*30)</f>
        <v>45758.383486392384</v>
      </c>
      <c r="S67" s="29" t="s">
        <v>111</v>
      </c>
      <c r="T67" s="35">
        <f>A44+(T66*30)</f>
        <v>45361.40973421641</v>
      </c>
    </row>
    <row r="68" spans="1:26" x14ac:dyDescent="0.35">
      <c r="B68" s="64"/>
    </row>
    <row r="69" spans="1:26" x14ac:dyDescent="0.35">
      <c r="L69" s="68"/>
    </row>
    <row r="70" spans="1:26" x14ac:dyDescent="0.35">
      <c r="L70" s="68"/>
    </row>
    <row r="71" spans="1:26" x14ac:dyDescent="0.35">
      <c r="L71" s="68"/>
    </row>
    <row r="74" spans="1:26" x14ac:dyDescent="0.35">
      <c r="L74" s="21"/>
      <c r="M74" s="21"/>
    </row>
    <row r="75" spans="1:26" x14ac:dyDescent="0.35">
      <c r="L75" s="21"/>
      <c r="M75" s="21"/>
      <c r="Z75" t="s">
        <v>113</v>
      </c>
    </row>
    <row r="76" spans="1:26" x14ac:dyDescent="0.35">
      <c r="L76" s="21"/>
      <c r="M76" s="21"/>
    </row>
    <row r="77" spans="1:26" x14ac:dyDescent="0.35">
      <c r="L77" s="21"/>
      <c r="M77" s="21"/>
    </row>
    <row r="78" spans="1:26" x14ac:dyDescent="0.35">
      <c r="L78" s="21"/>
      <c r="M78" s="21"/>
      <c r="Z78" t="s">
        <v>114</v>
      </c>
    </row>
    <row r="79" spans="1:26" x14ac:dyDescent="0.35">
      <c r="L79" s="21"/>
      <c r="M79" s="21"/>
    </row>
    <row r="80" spans="1:26" x14ac:dyDescent="0.35">
      <c r="L80" s="21"/>
      <c r="M80" s="21"/>
    </row>
    <row r="81" spans="12:26" x14ac:dyDescent="0.35">
      <c r="L81" s="21"/>
      <c r="M81" s="21"/>
      <c r="Z81" t="s">
        <v>115</v>
      </c>
    </row>
    <row r="82" spans="12:26" x14ac:dyDescent="0.35">
      <c r="L82" s="21"/>
      <c r="M82" s="21"/>
    </row>
    <row r="83" spans="12:26" x14ac:dyDescent="0.35">
      <c r="L83" s="21"/>
      <c r="M83" s="21"/>
    </row>
    <row r="84" spans="12:26" x14ac:dyDescent="0.35">
      <c r="L84" s="21"/>
      <c r="M84" s="21"/>
      <c r="Z84" t="s">
        <v>116</v>
      </c>
    </row>
    <row r="85" spans="12:26" x14ac:dyDescent="0.35">
      <c r="L85" s="21"/>
      <c r="M85" s="21"/>
    </row>
    <row r="86" spans="12:26" x14ac:dyDescent="0.35">
      <c r="L86" s="21"/>
      <c r="M86" s="21"/>
    </row>
    <row r="87" spans="12:26" x14ac:dyDescent="0.35">
      <c r="L87" s="21"/>
      <c r="M87" s="21"/>
    </row>
    <row r="88" spans="12:26" x14ac:dyDescent="0.35">
      <c r="L88" s="21"/>
      <c r="M88" s="21"/>
      <c r="Z88" t="s">
        <v>121</v>
      </c>
    </row>
    <row r="89" spans="12:26" x14ac:dyDescent="0.35">
      <c r="L89" s="21"/>
      <c r="M89" s="21"/>
    </row>
    <row r="90" spans="12:26" x14ac:dyDescent="0.35">
      <c r="L90" s="21"/>
      <c r="M90" s="21"/>
    </row>
    <row r="91" spans="12:26" x14ac:dyDescent="0.35">
      <c r="L91" s="21"/>
      <c r="M91" s="21"/>
      <c r="Z91" t="s">
        <v>132</v>
      </c>
    </row>
    <row r="92" spans="12:26" x14ac:dyDescent="0.35">
      <c r="L92" s="21"/>
      <c r="M92" s="21"/>
    </row>
    <row r="93" spans="12:26" x14ac:dyDescent="0.35">
      <c r="L93" s="21"/>
      <c r="M93" s="21"/>
    </row>
    <row r="94" spans="12:26" x14ac:dyDescent="0.35">
      <c r="L94" s="21"/>
      <c r="M94" s="21"/>
    </row>
    <row r="95" spans="12:26" x14ac:dyDescent="0.35">
      <c r="L95" s="21"/>
      <c r="M95" s="21"/>
      <c r="Z95" t="s">
        <v>163</v>
      </c>
    </row>
    <row r="96" spans="12:26" x14ac:dyDescent="0.35">
      <c r="L96" s="21"/>
      <c r="M96" s="21"/>
    </row>
    <row r="97" spans="12:26" x14ac:dyDescent="0.35">
      <c r="L97" s="21"/>
      <c r="M97" s="21"/>
    </row>
    <row r="98" spans="12:26" x14ac:dyDescent="0.35">
      <c r="Z98" t="s">
        <v>183</v>
      </c>
    </row>
    <row r="101" spans="12:26" x14ac:dyDescent="0.35">
      <c r="Z101" t="s">
        <v>194</v>
      </c>
    </row>
    <row r="104" spans="12:26" x14ac:dyDescent="0.35">
      <c r="Z104" t="s">
        <v>214</v>
      </c>
    </row>
  </sheetData>
  <mergeCells count="3">
    <mergeCell ref="C1:D1"/>
    <mergeCell ref="F1:G1"/>
    <mergeCell ref="A1:B1"/>
  </mergeCells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Duchesneau, Adam</dc:creator>
  <cp:lastModifiedBy>Carty, Daniel E</cp:lastModifiedBy>
  <cp:lastPrinted>2022-04-05T18:46:07Z</cp:lastPrinted>
  <dcterms:created xsi:type="dcterms:W3CDTF">2021-08-04T13:09:50Z</dcterms:created>
  <dcterms:modified xsi:type="dcterms:W3CDTF">2024-12-06T15:48:54Z</dcterms:modified>
</cp:coreProperties>
</file>