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40322_documents/"/>
    </mc:Choice>
  </mc:AlternateContent>
  <xr:revisionPtr revIDLastSave="890" documentId="13_ncr:1_{C45A8D03-2071-4E86-BBE3-BC91D982FBC7}" xr6:coauthVersionLast="47" xr6:coauthVersionMax="47" xr10:uidLastSave="{A774A0B8-B2BC-49E7-A3EB-8F1A77B29478}"/>
  <bookViews>
    <workbookView xWindow="28635" yWindow="-165" windowWidth="20820" windowHeight="1113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P50" i="1"/>
  <c r="H43" i="1"/>
  <c r="B43" i="1"/>
  <c r="G43" i="1"/>
  <c r="D43" i="1"/>
  <c r="P46" i="1"/>
  <c r="M46" i="1"/>
  <c r="M48" i="1" s="1"/>
  <c r="I42" i="1" l="1"/>
  <c r="S50" i="1" s="1"/>
  <c r="E42" i="1"/>
  <c r="I43" i="1"/>
  <c r="E43" i="1"/>
  <c r="J42" i="1" l="1"/>
  <c r="D46" i="1" s="1"/>
  <c r="J43" i="1"/>
  <c r="S46" i="1"/>
  <c r="H41" i="1" l="1"/>
  <c r="I41" i="1" s="1"/>
  <c r="H40" i="1"/>
  <c r="H39" i="1"/>
  <c r="H38" i="1"/>
  <c r="H37" i="1"/>
  <c r="H36" i="1"/>
  <c r="H35" i="1"/>
  <c r="H34" i="1"/>
  <c r="H33" i="1"/>
  <c r="H32" i="1"/>
  <c r="H31" i="1"/>
  <c r="E41" i="1"/>
  <c r="J41" i="1" l="1"/>
  <c r="C51" i="1" l="1"/>
  <c r="I40" i="1"/>
  <c r="E40" i="1"/>
  <c r="J40" i="1" l="1"/>
  <c r="I39" i="1"/>
  <c r="E39" i="1"/>
  <c r="J39" i="1" l="1"/>
  <c r="I38" i="1" l="1"/>
  <c r="E38" i="1"/>
  <c r="J38" i="1" l="1"/>
  <c r="S48" i="1"/>
  <c r="I37" i="1"/>
  <c r="E37" i="1"/>
  <c r="I36" i="1"/>
  <c r="E36" i="1"/>
  <c r="I35" i="1"/>
  <c r="E35" i="1"/>
  <c r="E34" i="1"/>
  <c r="E33" i="1"/>
  <c r="I34" i="1"/>
  <c r="I33" i="1"/>
  <c r="J34" i="1" l="1"/>
  <c r="J35" i="1"/>
  <c r="J37" i="1"/>
  <c r="J33" i="1"/>
  <c r="J36" i="1"/>
  <c r="I6" i="1"/>
  <c r="I5" i="1"/>
  <c r="I4" i="1"/>
  <c r="I3" i="1"/>
  <c r="I2" i="1"/>
  <c r="I32" i="1"/>
  <c r="I31" i="1" l="1"/>
  <c r="S51" i="1" s="1"/>
  <c r="S52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4" i="1"/>
  <c r="J4" i="1" s="1"/>
  <c r="E20" i="1"/>
  <c r="E23" i="1"/>
  <c r="E24" i="1"/>
  <c r="E25" i="1"/>
  <c r="E26" i="1"/>
  <c r="E27" i="1"/>
  <c r="E28" i="1"/>
  <c r="J28" i="1" s="1"/>
  <c r="E30" i="1"/>
  <c r="E31" i="1"/>
  <c r="E32" i="1"/>
  <c r="E3" i="1"/>
  <c r="J3" i="1" s="1"/>
  <c r="E2" i="1"/>
  <c r="J2" i="1" s="1"/>
  <c r="J26" i="1" l="1"/>
  <c r="J32" i="1"/>
  <c r="J27" i="1"/>
  <c r="J31" i="1"/>
  <c r="J23" i="1"/>
  <c r="J25" i="1"/>
  <c r="J24" i="1"/>
  <c r="J20" i="1"/>
  <c r="J30" i="1"/>
  <c r="D29" i="1"/>
  <c r="E29" i="1" s="1"/>
  <c r="J29" i="1" s="1"/>
  <c r="V21" i="1"/>
  <c r="V35" i="1" s="1"/>
  <c r="J46" i="1" l="1"/>
  <c r="P48" i="1"/>
  <c r="P51" i="1" s="1"/>
  <c r="P52" i="1" s="1"/>
  <c r="V46" i="1" l="1"/>
  <c r="AB37" i="1" l="1"/>
  <c r="AB32" i="1" l="1"/>
  <c r="D22" i="1"/>
  <c r="E22" i="1" s="1"/>
  <c r="J22" i="1" s="1"/>
  <c r="AB30" i="1" l="1"/>
  <c r="D21" i="1"/>
  <c r="E21" i="1" s="1"/>
  <c r="J21" i="1" s="1"/>
  <c r="AB27" i="1" l="1"/>
  <c r="AB34" i="1" l="1"/>
  <c r="Y1" i="1" l="1"/>
  <c r="Y20" i="1" l="1"/>
  <c r="D19" i="1"/>
  <c r="E19" i="1" s="1"/>
  <c r="J19" i="1" s="1"/>
  <c r="Y17" i="1" l="1"/>
  <c r="D18" i="1"/>
  <c r="E18" i="1" s="1"/>
  <c r="J18" i="1" s="1"/>
  <c r="D16" i="1" l="1"/>
  <c r="E16" i="1" s="1"/>
  <c r="J16" i="1" s="1"/>
  <c r="AB22" i="1" l="1"/>
  <c r="D17" i="1"/>
  <c r="E17" i="1" s="1"/>
  <c r="J17" i="1" s="1"/>
  <c r="AB20" i="1" l="1"/>
  <c r="AB18" i="1" l="1"/>
  <c r="AB23" i="1" s="1"/>
  <c r="AB24" i="1" s="1"/>
  <c r="D15" i="1"/>
  <c r="E15" i="1" s="1"/>
  <c r="J15" i="1" s="1"/>
  <c r="D14" i="1" l="1"/>
  <c r="E14" i="1" s="1"/>
  <c r="J14" i="1" s="1"/>
  <c r="D13" i="1"/>
  <c r="E13" i="1" s="1"/>
  <c r="J13" i="1" s="1"/>
  <c r="AB8" i="1"/>
  <c r="AB10" i="1" l="1"/>
  <c r="AH9" i="1"/>
  <c r="D10" i="1" l="1"/>
  <c r="E10" i="1" s="1"/>
  <c r="J10" i="1" s="1"/>
  <c r="D12" i="1"/>
  <c r="E12" i="1" s="1"/>
  <c r="J12" i="1" s="1"/>
  <c r="AB2" i="1" l="1"/>
  <c r="AB6" i="1"/>
  <c r="AB4" i="1" l="1"/>
  <c r="AB12" i="1" s="1"/>
  <c r="AB13" i="1" s="1"/>
  <c r="D11" i="1"/>
  <c r="E11" i="1" s="1"/>
  <c r="J11" i="1" s="1"/>
  <c r="D9" i="1" l="1"/>
  <c r="E9" i="1" s="1"/>
  <c r="J9" i="1" s="1"/>
  <c r="D8" i="1"/>
  <c r="E8" i="1" s="1"/>
  <c r="J8" i="1" s="1"/>
  <c r="D7" i="1"/>
  <c r="E7" i="1" s="1"/>
  <c r="J7" i="1" s="1"/>
  <c r="D6" i="1"/>
  <c r="E6" i="1" s="1"/>
  <c r="J6" i="1" s="1"/>
  <c r="D5" i="1"/>
  <c r="E5" i="1" s="1"/>
  <c r="J5" i="1" s="1"/>
  <c r="Y5" i="1"/>
  <c r="Y4" i="1"/>
  <c r="Y3" i="1"/>
  <c r="Y2" i="1"/>
  <c r="AE6" i="1"/>
  <c r="AE5" i="1"/>
  <c r="AE4" i="1"/>
  <c r="AE2" i="1"/>
  <c r="AK6" i="1"/>
  <c r="AK5" i="1"/>
  <c r="Y27" i="1" l="1"/>
  <c r="Y28" i="1" s="1"/>
  <c r="AK7" i="1"/>
  <c r="AE7" i="1"/>
  <c r="AE8" i="1" s="1"/>
</calcChain>
</file>

<file path=xl/sharedStrings.xml><?xml version="1.0" encoding="utf-8"?>
<sst xmlns="http://schemas.openxmlformats.org/spreadsheetml/2006/main" count="200" uniqueCount="177">
  <si>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</si>
  <si>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</si>
  <si>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</si>
  <si>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</si>
  <si>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</si>
  <si>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</si>
  <si>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</si>
  <si>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</si>
  <si>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</si>
  <si>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</si>
  <si>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</si>
  <si>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</si>
  <si>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</si>
  <si>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</si>
  <si>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</si>
  <si>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</si>
  <si>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</si>
  <si>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</si>
  <si>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</si>
  <si>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</si>
  <si>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</si>
  <si>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</si>
  <si>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</si>
  <si>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</si>
  <si>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</si>
  <si>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</si>
  <si>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</si>
  <si>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</si>
  <si>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</si>
  <si>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</si>
  <si>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</si>
  <si>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</si>
  <si>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</si>
  <si>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</si>
  <si>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</si>
  <si>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</si>
  <si>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</si>
  <si>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</si>
  <si>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</si>
  <si>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</si>
  <si>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</si>
  <si>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</si>
  <si>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</si>
  <si>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</si>
  <si>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</si>
  <si>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</si>
  <si>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</si>
  <si>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</si>
  <si>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</si>
  <si>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</si>
  <si>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</si>
  <si>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</si>
  <si>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</si>
  <si>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</si>
  <si>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</si>
  <si>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</si>
  <si>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</si>
  <si>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</si>
  <si>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</si>
  <si>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</si>
  <si>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</si>
  <si>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</si>
  <si>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</si>
  <si>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</si>
  <si>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</si>
  <si>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</si>
  <si>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</si>
  <si>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</si>
  <si>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</si>
  <si>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</si>
  <si>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</si>
  <si>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</si>
  <si>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</si>
  <si>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</si>
  <si>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</si>
  <si>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</si>
  <si>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</si>
  <si>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</si>
  <si>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</si>
  <si>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</si>
  <si>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</si>
  <si>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</si>
  <si>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</si>
  <si>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</si>
  <si>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</si>
  <si>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</si>
  <si>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</si>
  <si>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</si>
  <si>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</si>
  <si>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</si>
  <si>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</si>
  <si>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</si>
  <si>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</si>
  <si>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</si>
  <si>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</si>
  <si>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</si>
  <si>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</si>
  <si>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</si>
  <si>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</si>
  <si>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</si>
  <si>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</si>
  <si>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</si>
  <si>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</si>
  <si>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Annex Invoices</t>
  </si>
  <si>
    <t>Annex Feb-23</t>
  </si>
  <si>
    <t>Annex Mar-23</t>
  </si>
  <si>
    <t>Annex Apr-23</t>
  </si>
  <si>
    <t>Annex May-23</t>
  </si>
  <si>
    <t>REMAINING</t>
  </si>
  <si>
    <t>Avg taxi, last 6 months</t>
  </si>
  <si>
    <t># months funding remaining</t>
  </si>
  <si>
    <t>Estimated $0 balance</t>
  </si>
  <si>
    <t>Total Taxi</t>
  </si>
  <si>
    <t>Avg Uber/Annex, last 6 months</t>
  </si>
  <si>
    <t>March 2021 Go Sudbury Taxi suspended except for COVID vaccination rides</t>
  </si>
  <si>
    <t>July 2022 = We had all riders re-subscribe; changed from 50+ to 60+</t>
  </si>
  <si>
    <t>Feb 1 2023 = Ride limits reduced to 4 Taxi and 6 Uber / mo</t>
  </si>
  <si>
    <t>Feb 2023  Annex pilot began, first charges rec'd</t>
  </si>
  <si>
    <t>Uber + Annex</t>
  </si>
  <si>
    <t>Taxi</t>
  </si>
  <si>
    <t>Uber</t>
  </si>
  <si>
    <t>Total</t>
  </si>
  <si>
    <t>Mar 2023 - Uber rides increased to 10/mo, taxi remains 6/mo</t>
  </si>
  <si>
    <t>TOTAL SPEND</t>
  </si>
  <si>
    <t>JFK Jun-23</t>
  </si>
  <si>
    <t>Tommy's Jun-23</t>
  </si>
  <si>
    <t>Annex Jun-23</t>
  </si>
  <si>
    <t>Uber Jun-23</t>
  </si>
  <si>
    <t>July 22 - June 23 Dispatch</t>
  </si>
  <si>
    <t>2023 ATM - Article 14</t>
  </si>
  <si>
    <t>July 22 - June 23</t>
  </si>
  <si>
    <t>Uber -July-23</t>
  </si>
  <si>
    <t>Annex July-23</t>
  </si>
  <si>
    <t>July 2023 - Began using ATM2023/FY2024 funding for Uber changes</t>
  </si>
  <si>
    <t>Tommy's July -23</t>
  </si>
  <si>
    <t>JFK July-23</t>
  </si>
  <si>
    <t>Tommy's August-23</t>
  </si>
  <si>
    <t>JFK August-23</t>
  </si>
  <si>
    <t>Annex August-23</t>
  </si>
  <si>
    <t>Uber - Aug-23</t>
  </si>
  <si>
    <t>Annex - Aug-23</t>
  </si>
  <si>
    <t>Uber Sept-23</t>
  </si>
  <si>
    <t>Annex Sept-23</t>
  </si>
  <si>
    <t>Tommy's Sept-23</t>
  </si>
  <si>
    <t>JFK Sept-23</t>
  </si>
  <si>
    <t>Tommy's Oct-23</t>
  </si>
  <si>
    <t>JFK Oct-23</t>
  </si>
  <si>
    <t>Annex Oct-23</t>
  </si>
  <si>
    <t>Uber Oct-23</t>
  </si>
  <si>
    <t>Uber Nov-23</t>
  </si>
  <si>
    <t>Annex Nov-23</t>
  </si>
  <si>
    <t>Tommy's Nov-23</t>
  </si>
  <si>
    <t>JFK Nov-23</t>
  </si>
  <si>
    <t># signed up in both programs</t>
  </si>
  <si>
    <t># unique individuals enrolled</t>
  </si>
  <si>
    <t>Uber Dec-23</t>
  </si>
  <si>
    <t>Annex  Dec-23</t>
  </si>
  <si>
    <t>Tommy's Dec-23</t>
  </si>
  <si>
    <t>JFK Dec-23</t>
  </si>
  <si>
    <t>Annex Dec-23</t>
  </si>
  <si>
    <t>Uber Jan-24</t>
  </si>
  <si>
    <t>Annex Jan-24</t>
  </si>
  <si>
    <t>Tommy's-Jan24</t>
  </si>
  <si>
    <t>JFK-Jan24</t>
  </si>
  <si>
    <t>Enrollment through 2/15/2024</t>
  </si>
  <si>
    <t>Sept 2023 - Increased ride caps take effect (10 Uber, 10 Taxi)</t>
  </si>
  <si>
    <t>Go Sudbury! Earmark Funds #1</t>
  </si>
  <si>
    <t>Uber Feb-24</t>
  </si>
  <si>
    <t>Annex Feb-24</t>
  </si>
  <si>
    <t>Tommy's Feb24</t>
  </si>
  <si>
    <t>Tommy's-Feb24</t>
  </si>
  <si>
    <t>JFK-Feb24</t>
  </si>
  <si>
    <t>Town of Acton Dispatch FY24</t>
  </si>
  <si>
    <t>Last 12 month total spend thru Feb 2024</t>
  </si>
  <si>
    <t>Average monthly spend over last 12 months thru Feb 2024</t>
  </si>
  <si>
    <t>(7 in Feb, 4 so far in Mar )</t>
  </si>
  <si>
    <t>(7 in Feb, 6 so far in Mar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</si>
</sst>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3" fillId="0" borderId="0" xfId="0" applyNumberFormat="1" applyFont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7" fontId="5" fillId="0" borderId="0" xfId="0" applyNumberFormat="1" applyFont="1"/>
    <xf numFmtId="164" fontId="0" fillId="2" borderId="0" xfId="0" applyNumberFormat="1" applyFill="1" applyAlignment="1">
      <alignment horizontal="right"/>
    </xf>
    <xf numFmtId="164" fontId="5" fillId="2" borderId="0" xfId="0" applyNumberFormat="1" applyFont="1" applyFill="1"/>
    <xf numFmtId="164" fontId="5" fillId="0" borderId="0" xfId="0" applyNumberFormat="1" applyFont="1"/>
    <xf numFmtId="0" fontId="3" fillId="3" borderId="0" xfId="0" applyFont="1" applyFill="1"/>
    <xf numFmtId="6" fontId="3" fillId="3" borderId="0" xfId="0" applyNumberFormat="1" applyFont="1" applyFill="1"/>
    <xf numFmtId="164" fontId="0" fillId="3" borderId="0" xfId="0" applyNumberFormat="1" applyFill="1"/>
    <xf numFmtId="0" fontId="0" fillId="3" borderId="0" xfId="0" applyFill="1" applyAlignment="1">
      <alignment horizontal="right"/>
    </xf>
    <xf numFmtId="164" fontId="2" fillId="3" borderId="0" xfId="0" applyNumberFormat="1" applyFont="1" applyFill="1"/>
    <xf numFmtId="0" fontId="5" fillId="3" borderId="0" xfId="0" applyFont="1" applyFill="1" applyAlignment="1">
      <alignment horizontal="right"/>
    </xf>
    <xf numFmtId="164" fontId="6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5" fontId="3" fillId="3" borderId="0" xfId="1" applyNumberFormat="1" applyFont="1" applyFill="1" applyAlignment="1">
      <alignment horizontal="right"/>
    </xf>
    <xf numFmtId="17" fontId="0" fillId="3" borderId="0" xfId="0" applyNumberFormat="1" applyFill="1"/>
    <xf numFmtId="164" fontId="0" fillId="3" borderId="1" xfId="0" applyNumberFormat="1" applyFill="1" applyBorder="1"/>
    <xf numFmtId="8" fontId="2" fillId="3" borderId="0" xfId="0" applyNumberFormat="1" applyFont="1" applyFill="1"/>
    <xf numFmtId="165" fontId="3" fillId="3" borderId="0" xfId="0" applyNumberFormat="1" applyFont="1" applyFill="1"/>
    <xf numFmtId="164" fontId="4" fillId="3" borderId="0" xfId="0" applyNumberFormat="1" applyFont="1" applyFill="1"/>
    <xf numFmtId="164" fontId="7" fillId="3" borderId="0" xfId="0" applyNumberFormat="1" applyFont="1" applyFill="1"/>
    <xf numFmtId="164" fontId="2" fillId="3" borderId="1" xfId="0" applyNumberFormat="1" applyFont="1" applyFill="1" applyBorder="1"/>
    <xf numFmtId="6" fontId="2" fillId="3" borderId="0" xfId="0" applyNumberFormat="1" applyFont="1" applyFill="1"/>
    <xf numFmtId="164" fontId="0" fillId="3" borderId="0" xfId="0" applyNumberFormat="1" applyFill="1" applyAlignment="1">
      <alignment horizontal="right"/>
    </xf>
    <xf numFmtId="17" fontId="5" fillId="2" borderId="0" xfId="0" applyNumberFormat="1" applyFont="1" applyFill="1"/>
    <xf numFmtId="0" fontId="5" fillId="2" borderId="0" xfId="0" applyFont="1" applyFill="1" applyAlignment="1">
      <alignment horizontal="right"/>
    </xf>
    <xf numFmtId="164" fontId="6" fillId="2" borderId="0" xfId="0" applyNumberFormat="1" applyFont="1" applyFill="1"/>
    <xf numFmtId="0" fontId="5" fillId="2" borderId="0" xfId="0" applyFont="1" applyFill="1"/>
    <xf numFmtId="166" fontId="0" fillId="2" borderId="0" xfId="0" applyNumberFormat="1" applyFill="1"/>
    <xf numFmtId="17" fontId="0" fillId="2" borderId="0" xfId="0" applyNumberFormat="1" applyFill="1"/>
    <xf numFmtId="4" fontId="0" fillId="0" borderId="0" xfId="0" applyNumberFormat="1"/>
    <xf numFmtId="164" fontId="0" fillId="4" borderId="0" xfId="0" applyNumberFormat="1" applyFill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5" fillId="3" borderId="1" xfId="0" applyNumberFormat="1" applyFont="1" applyFill="1" applyBorder="1"/>
    <xf numFmtId="164" fontId="5" fillId="3" borderId="0" xfId="0" applyNumberFormat="1" applyFont="1" applyFill="1"/>
    <xf numFmtId="164" fontId="5" fillId="0" borderId="0" xfId="0" applyNumberFormat="1" applyFont="1" applyAlignment="1">
      <alignment horizontal="left"/>
    </xf>
    <xf numFmtId="164" fontId="6" fillId="0" borderId="0" xfId="0" applyNumberFormat="1" applyFont="1"/>
    <xf numFmtId="17" fontId="5" fillId="4" borderId="0" xfId="0" applyNumberFormat="1" applyFont="1" applyFill="1"/>
    <xf numFmtId="164" fontId="5" fillId="4" borderId="0" xfId="0" applyNumberFormat="1" applyFont="1" applyFill="1"/>
    <xf numFmtId="0" fontId="0" fillId="4" borderId="0" xfId="0" applyFill="1"/>
    <xf numFmtId="17" fontId="0" fillId="4" borderId="0" xfId="0" applyNumberFormat="1" applyFill="1"/>
    <xf numFmtId="0" fontId="5" fillId="4" borderId="0" xfId="0" applyFont="1" applyFill="1" applyAlignment="1">
      <alignment horizontal="right"/>
    </xf>
    <xf numFmtId="4" fontId="0" fillId="2" borderId="0" xfId="0" applyNumberFormat="1" applyFill="1"/>
    <xf numFmtId="0" fontId="3" fillId="0" borderId="0" xfId="0" applyFont="1" applyAlignment="1">
      <alignment horizontal="center"/>
    </xf>
    <xf numFmtId="164" fontId="0" fillId="0" borderId="0" xfId="0" applyNumberFormat="1" applyFill="1"/>
    <xf numFmtId="17" fontId="5" fillId="0" borderId="0" xfId="0" applyNumberFormat="1" applyFont="1" applyFill="1"/>
    <xf numFmtId="4" fontId="0" fillId="0" borderId="0" xfId="0" applyNumberFormat="1" applyFill="1"/>
    <xf numFmtId="164" fontId="5" fillId="0" borderId="0" xfId="0" applyNumberFormat="1" applyFont="1" applyFill="1"/>
    <xf numFmtId="0" fontId="3" fillId="2" borderId="0" xfId="0" applyFon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0" fillId="0" borderId="2" xfId="0" applyNumberFormat="1" applyFill="1" applyBorder="1"/>
    <xf numFmtId="164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Spend</a:t>
            </a:r>
          </a:p>
        </c:rich>
      </c:tx>
      <c:layout>
        <c:manualLayout>
          <c:xMode val="edge"/>
          <c:yMode val="edge"/>
          <c:x val="0.4245183191493047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986496891691452E-2"/>
          <c:y val="9.6293490488045932E-2"/>
          <c:w val="0.87436241175564722"/>
          <c:h val="0.78914214149369288"/>
        </c:manualLayout>
      </c:layout>
      <c:lineChart>
        <c:grouping val="standard"/>
        <c:varyColors val="0"/>
        <c:ser>
          <c:idx val="1"/>
          <c:order val="0"/>
          <c:tx>
            <c:strRef>
              <c:f>Sheet1!$E$1</c:f>
              <c:strCache>
                <c:ptCount val="1"/>
                <c:pt idx="0">
                  <c:v>Total Taxi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mmm\-yy</c:formatCode>
                <c:ptCount val="42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  <c:pt idx="32">
                  <c:v>45047</c:v>
                </c:pt>
                <c:pt idx="33">
                  <c:v>45078</c:v>
                </c:pt>
                <c:pt idx="34">
                  <c:v>45108</c:v>
                </c:pt>
                <c:pt idx="35">
                  <c:v>45139</c:v>
                </c:pt>
                <c:pt idx="36">
                  <c:v>45170</c:v>
                </c:pt>
                <c:pt idx="37">
                  <c:v>45200</c:v>
                </c:pt>
                <c:pt idx="38">
                  <c:v>45231</c:v>
                </c:pt>
                <c:pt idx="39">
                  <c:v>45261</c:v>
                </c:pt>
                <c:pt idx="40">
                  <c:v>45292</c:v>
                </c:pt>
                <c:pt idx="41">
                  <c:v>45323</c:v>
                </c:pt>
              </c:numCache>
            </c:numRef>
          </c:cat>
          <c:val>
            <c:numRef>
              <c:f>Sheet1!$E$2:$E$43</c:f>
              <c:numCache>
                <c:formatCode>"$"#,##0.00</c:formatCode>
                <c:ptCount val="42"/>
                <c:pt idx="0">
                  <c:v>2261.5</c:v>
                </c:pt>
                <c:pt idx="1">
                  <c:v>6810.2999999999993</c:v>
                </c:pt>
                <c:pt idx="2">
                  <c:v>6119.6</c:v>
                </c:pt>
                <c:pt idx="3">
                  <c:v>11144.6</c:v>
                </c:pt>
                <c:pt idx="4">
                  <c:v>10971.5</c:v>
                </c:pt>
                <c:pt idx="5">
                  <c:v>6218</c:v>
                </c:pt>
                <c:pt idx="6">
                  <c:v>406.5</c:v>
                </c:pt>
                <c:pt idx="7">
                  <c:v>714</c:v>
                </c:pt>
                <c:pt idx="8">
                  <c:v>2043</c:v>
                </c:pt>
                <c:pt idx="9">
                  <c:v>5170.3</c:v>
                </c:pt>
                <c:pt idx="10">
                  <c:v>3724.5</c:v>
                </c:pt>
                <c:pt idx="11">
                  <c:v>4617.5</c:v>
                </c:pt>
                <c:pt idx="12">
                  <c:v>5056.5</c:v>
                </c:pt>
                <c:pt idx="13">
                  <c:v>5300.3</c:v>
                </c:pt>
                <c:pt idx="14">
                  <c:v>4323.3</c:v>
                </c:pt>
                <c:pt idx="15">
                  <c:v>5040</c:v>
                </c:pt>
                <c:pt idx="16">
                  <c:v>4973.8999999999996</c:v>
                </c:pt>
                <c:pt idx="17">
                  <c:v>7755.5</c:v>
                </c:pt>
                <c:pt idx="18">
                  <c:v>7691.3</c:v>
                </c:pt>
                <c:pt idx="19">
                  <c:v>6230.5</c:v>
                </c:pt>
                <c:pt idx="20">
                  <c:v>6246.1</c:v>
                </c:pt>
                <c:pt idx="21">
                  <c:v>6277</c:v>
                </c:pt>
                <c:pt idx="22">
                  <c:v>4549.3999999999996</c:v>
                </c:pt>
                <c:pt idx="23">
                  <c:v>6995.95</c:v>
                </c:pt>
                <c:pt idx="24">
                  <c:v>8047.45</c:v>
                </c:pt>
                <c:pt idx="25">
                  <c:v>8576</c:v>
                </c:pt>
                <c:pt idx="26">
                  <c:v>7833.65</c:v>
                </c:pt>
                <c:pt idx="27">
                  <c:v>4565.3</c:v>
                </c:pt>
                <c:pt idx="28">
                  <c:v>5856.35</c:v>
                </c:pt>
                <c:pt idx="29">
                  <c:v>3438</c:v>
                </c:pt>
                <c:pt idx="30">
                  <c:v>3234.3</c:v>
                </c:pt>
                <c:pt idx="31">
                  <c:v>5977.1</c:v>
                </c:pt>
                <c:pt idx="32">
                  <c:v>6804.05</c:v>
                </c:pt>
                <c:pt idx="33">
                  <c:v>5261.9</c:v>
                </c:pt>
                <c:pt idx="34">
                  <c:v>3569.1</c:v>
                </c:pt>
                <c:pt idx="35">
                  <c:v>6346.55</c:v>
                </c:pt>
                <c:pt idx="36">
                  <c:v>8508.9500000000007</c:v>
                </c:pt>
                <c:pt idx="37">
                  <c:v>6453.25</c:v>
                </c:pt>
                <c:pt idx="38">
                  <c:v>6564.5</c:v>
                </c:pt>
                <c:pt idx="39">
                  <c:v>6480.95</c:v>
                </c:pt>
                <c:pt idx="40">
                  <c:v>5933.55</c:v>
                </c:pt>
                <c:pt idx="41">
                  <c:v>6153.45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0-4857-BDD0-2EF14FCC83DD}"/>
            </c:ext>
          </c:extLst>
        </c:ser>
        <c:ser>
          <c:idx val="0"/>
          <c:order val="1"/>
          <c:tx>
            <c:strRef>
              <c:f>Sheet1!$I$1</c:f>
              <c:strCache>
                <c:ptCount val="1"/>
                <c:pt idx="0">
                  <c:v>Uber + Annex</c:v>
                </c:pt>
              </c:strCache>
            </c:strRef>
          </c:tx>
          <c:spPr>
            <a:ln w="28575" cap="rnd">
              <a:solidFill>
                <a:schemeClr val="accent1">
                  <a:alpha val="9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mmm\-yy</c:formatCode>
                <c:ptCount val="42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  <c:pt idx="32">
                  <c:v>45047</c:v>
                </c:pt>
                <c:pt idx="33">
                  <c:v>45078</c:v>
                </c:pt>
                <c:pt idx="34">
                  <c:v>45108</c:v>
                </c:pt>
                <c:pt idx="35">
                  <c:v>45139</c:v>
                </c:pt>
                <c:pt idx="36">
                  <c:v>45170</c:v>
                </c:pt>
                <c:pt idx="37">
                  <c:v>45200</c:v>
                </c:pt>
                <c:pt idx="38">
                  <c:v>45231</c:v>
                </c:pt>
                <c:pt idx="39">
                  <c:v>45261</c:v>
                </c:pt>
                <c:pt idx="40">
                  <c:v>45292</c:v>
                </c:pt>
                <c:pt idx="41">
                  <c:v>45323</c:v>
                </c:pt>
              </c:numCache>
            </c:numRef>
          </c:cat>
          <c:val>
            <c:numRef>
              <c:f>Sheet1!$I$2:$I$43</c:f>
              <c:numCache>
                <c:formatCode>"$"#,##0.00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73.099999999999994</c:v>
                </c:pt>
                <c:pt idx="6">
                  <c:v>218.64</c:v>
                </c:pt>
                <c:pt idx="7">
                  <c:v>476.11</c:v>
                </c:pt>
                <c:pt idx="8">
                  <c:v>598.13</c:v>
                </c:pt>
                <c:pt idx="9">
                  <c:v>1618.72</c:v>
                </c:pt>
                <c:pt idx="10">
                  <c:v>2388.37</c:v>
                </c:pt>
                <c:pt idx="11">
                  <c:v>3017.75</c:v>
                </c:pt>
                <c:pt idx="12">
                  <c:v>3774.34</c:v>
                </c:pt>
                <c:pt idx="13">
                  <c:v>3492.27</c:v>
                </c:pt>
                <c:pt idx="14">
                  <c:v>2147.85</c:v>
                </c:pt>
                <c:pt idx="15">
                  <c:v>3032.66</c:v>
                </c:pt>
                <c:pt idx="16">
                  <c:v>2426.5300000000002</c:v>
                </c:pt>
                <c:pt idx="17">
                  <c:v>2872.53</c:v>
                </c:pt>
                <c:pt idx="18">
                  <c:v>4590.1099999999997</c:v>
                </c:pt>
                <c:pt idx="19">
                  <c:v>5282.77</c:v>
                </c:pt>
                <c:pt idx="20">
                  <c:v>6185.38</c:v>
                </c:pt>
                <c:pt idx="21">
                  <c:v>4243.07</c:v>
                </c:pt>
                <c:pt idx="22">
                  <c:v>4798.18</c:v>
                </c:pt>
                <c:pt idx="23">
                  <c:v>4578.6899999999996</c:v>
                </c:pt>
                <c:pt idx="24">
                  <c:v>3598.24</c:v>
                </c:pt>
                <c:pt idx="25">
                  <c:v>3921.32</c:v>
                </c:pt>
                <c:pt idx="26">
                  <c:v>3738.53</c:v>
                </c:pt>
                <c:pt idx="27">
                  <c:v>3419.72</c:v>
                </c:pt>
                <c:pt idx="28">
                  <c:v>2975.65</c:v>
                </c:pt>
                <c:pt idx="29">
                  <c:v>1724.7900000000002</c:v>
                </c:pt>
                <c:pt idx="30">
                  <c:v>3045.4300000000003</c:v>
                </c:pt>
                <c:pt idx="31">
                  <c:v>2303.5100000000002</c:v>
                </c:pt>
                <c:pt idx="32">
                  <c:v>2726.23</c:v>
                </c:pt>
                <c:pt idx="33">
                  <c:v>2766.79</c:v>
                </c:pt>
                <c:pt idx="34">
                  <c:v>2741.1800000000003</c:v>
                </c:pt>
                <c:pt idx="35">
                  <c:v>3235.79</c:v>
                </c:pt>
                <c:pt idx="36">
                  <c:v>3258.22</c:v>
                </c:pt>
                <c:pt idx="37">
                  <c:v>3843.71</c:v>
                </c:pt>
                <c:pt idx="38">
                  <c:v>3056.46</c:v>
                </c:pt>
                <c:pt idx="39">
                  <c:v>2203.66</c:v>
                </c:pt>
                <c:pt idx="40">
                  <c:v>2358.25</c:v>
                </c:pt>
                <c:pt idx="41">
                  <c:v>3064.52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0-4857-BDD0-2EF14FCC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7472"/>
        <c:axId val="36909552"/>
      </c:lineChart>
      <c:dateAx>
        <c:axId val="3690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9552"/>
        <c:crosses val="autoZero"/>
        <c:auto val="1"/>
        <c:lblOffset val="100"/>
        <c:baseTimeUnit val="months"/>
      </c:dateAx>
      <c:valAx>
        <c:axId val="369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337217405791772"/>
          <c:y val="0.37438456052360658"/>
          <c:w val="7.1121725339127029E-2"/>
          <c:h val="0.3428892432348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2646</xdr:colOff>
      <xdr:row>57</xdr:row>
      <xdr:rowOff>1059</xdr:rowOff>
    </xdr:from>
    <xdr:to>
      <xdr:col>20</xdr:col>
      <xdr:colOff>1460500</xdr:colOff>
      <xdr:row>82</xdr:row>
      <xdr:rowOff>64962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BBA06-1D37-4203-BEAD-C74E50D7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822885</xdr:colOff>
      <xdr:row>58</xdr:row>
      <xdr:rowOff>7471</xdr:rowOff>
    </xdr:from>
    <xdr:to>
      <xdr:col>23</xdr:col>
      <xdr:colOff>1223122</xdr:colOff>
      <xdr:row>60</xdr:row>
      <xdr:rowOff>101506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23EB6C85-7C95-4A75-9E2B-153643CBF3A7}"/>
            </a:ext>
          </a:extLst>
        </xdr:cNvPr>
        <xdr:cNvSpPr/>
      </xdr:nvSpPr>
      <xdr:spPr>
        <a:xfrm>
          <a:off x="12910297" y="9330765"/>
          <a:ext cx="40023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23</xdr:col>
      <xdr:colOff>822325</xdr:colOff>
      <xdr:row>64</xdr:row>
      <xdr:rowOff>18208</xdr:rowOff>
    </xdr:from>
    <xdr:to>
      <xdr:col>23</xdr:col>
      <xdr:colOff>1228912</xdr:colOff>
      <xdr:row>66</xdr:row>
      <xdr:rowOff>112244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245EF87B-E53F-4DA1-AE27-081F0658D0D1}"/>
            </a:ext>
          </a:extLst>
        </xdr:cNvPr>
        <xdr:cNvSpPr/>
      </xdr:nvSpPr>
      <xdr:spPr>
        <a:xfrm>
          <a:off x="12909737" y="10462090"/>
          <a:ext cx="406587" cy="4675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23</xdr:col>
      <xdr:colOff>833532</xdr:colOff>
      <xdr:row>61</xdr:row>
      <xdr:rowOff>26100</xdr:rowOff>
    </xdr:from>
    <xdr:to>
      <xdr:col>23</xdr:col>
      <xdr:colOff>1233769</xdr:colOff>
      <xdr:row>63</xdr:row>
      <xdr:rowOff>116960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C078F1D8-C0FC-4DE3-9A8C-088EAB07181D}"/>
            </a:ext>
          </a:extLst>
        </xdr:cNvPr>
        <xdr:cNvSpPr/>
      </xdr:nvSpPr>
      <xdr:spPr>
        <a:xfrm>
          <a:off x="12920944" y="9909688"/>
          <a:ext cx="400237" cy="46439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23</xdr:col>
      <xdr:colOff>851647</xdr:colOff>
      <xdr:row>67</xdr:row>
      <xdr:rowOff>101461</xdr:rowOff>
    </xdr:from>
    <xdr:to>
      <xdr:col>23</xdr:col>
      <xdr:colOff>1258234</xdr:colOff>
      <xdr:row>70</xdr:row>
      <xdr:rowOff>8731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DBBFBE62-88BC-47DE-8BAF-2F0AF4A6A8A2}"/>
            </a:ext>
          </a:extLst>
        </xdr:cNvPr>
        <xdr:cNvSpPr/>
      </xdr:nvSpPr>
      <xdr:spPr>
        <a:xfrm>
          <a:off x="12939059" y="11105637"/>
          <a:ext cx="40658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15</xdr:col>
      <xdr:colOff>986014</xdr:colOff>
      <xdr:row>70</xdr:row>
      <xdr:rowOff>45815</xdr:rowOff>
    </xdr:from>
    <xdr:to>
      <xdr:col>17</xdr:col>
      <xdr:colOff>288200</xdr:colOff>
      <xdr:row>72</xdr:row>
      <xdr:rowOff>127370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83F259DE-A4CA-4BAC-B328-86DC51E8BB70}"/>
            </a:ext>
          </a:extLst>
        </xdr:cNvPr>
        <xdr:cNvSpPr/>
      </xdr:nvSpPr>
      <xdr:spPr>
        <a:xfrm>
          <a:off x="14860764" y="13198253"/>
          <a:ext cx="532499" cy="44668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23</xdr:col>
      <xdr:colOff>847725</xdr:colOff>
      <xdr:row>71</xdr:row>
      <xdr:rowOff>15875</xdr:rowOff>
    </xdr:from>
    <xdr:to>
      <xdr:col>23</xdr:col>
      <xdr:colOff>1257487</xdr:colOff>
      <xdr:row>73</xdr:row>
      <xdr:rowOff>104120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14528FB6-2DD2-4E41-BC86-DFC53E25E48A}"/>
            </a:ext>
          </a:extLst>
        </xdr:cNvPr>
        <xdr:cNvSpPr/>
      </xdr:nvSpPr>
      <xdr:spPr>
        <a:xfrm>
          <a:off x="13106400" y="11464925"/>
          <a:ext cx="409762" cy="45019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17</xdr:col>
      <xdr:colOff>107625</xdr:colOff>
      <xdr:row>75</xdr:row>
      <xdr:rowOff>63525</xdr:rowOff>
    </xdr:from>
    <xdr:to>
      <xdr:col>17</xdr:col>
      <xdr:colOff>575922</xdr:colOff>
      <xdr:row>77</xdr:row>
      <xdr:rowOff>151770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1DC0FF56-1F7B-4FD5-9497-E139F2894F66}"/>
            </a:ext>
          </a:extLst>
        </xdr:cNvPr>
        <xdr:cNvSpPr/>
      </xdr:nvSpPr>
      <xdr:spPr>
        <a:xfrm>
          <a:off x="15212688" y="14128775"/>
          <a:ext cx="468297" cy="45337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17</xdr:col>
      <xdr:colOff>1083592</xdr:colOff>
      <xdr:row>69</xdr:row>
      <xdr:rowOff>5669</xdr:rowOff>
    </xdr:from>
    <xdr:to>
      <xdr:col>17</xdr:col>
      <xdr:colOff>1514873</xdr:colOff>
      <xdr:row>71</xdr:row>
      <xdr:rowOff>97882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id="{BCB4C051-356E-43E0-8E28-855CACAC2978}"/>
            </a:ext>
          </a:extLst>
        </xdr:cNvPr>
        <xdr:cNvSpPr/>
      </xdr:nvSpPr>
      <xdr:spPr>
        <a:xfrm>
          <a:off x="16188655" y="12975544"/>
          <a:ext cx="431281" cy="457338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23</xdr:col>
      <xdr:colOff>858044</xdr:colOff>
      <xdr:row>74</xdr:row>
      <xdr:rowOff>91281</xdr:rowOff>
    </xdr:from>
    <xdr:to>
      <xdr:col>23</xdr:col>
      <xdr:colOff>1267806</xdr:colOff>
      <xdr:row>77</xdr:row>
      <xdr:rowOff>7282</xdr:rowOff>
    </xdr:to>
    <xdr:sp macro="" textlink="">
      <xdr:nvSpPr>
        <xdr:cNvPr id="12" name="Star: 5 Points 11">
          <a:extLst>
            <a:ext uri="{FF2B5EF4-FFF2-40B4-BE49-F238E27FC236}">
              <a16:creationId xmlns:a16="http://schemas.microsoft.com/office/drawing/2014/main" id="{5AEC3AC7-D59F-49DB-9F6F-9E79CA7C3B98}"/>
            </a:ext>
          </a:extLst>
        </xdr:cNvPr>
        <xdr:cNvSpPr/>
      </xdr:nvSpPr>
      <xdr:spPr>
        <a:xfrm>
          <a:off x="17050544" y="11985625"/>
          <a:ext cx="409762" cy="451782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23</xdr:col>
      <xdr:colOff>901700</xdr:colOff>
      <xdr:row>77</xdr:row>
      <xdr:rowOff>177800</xdr:rowOff>
    </xdr:from>
    <xdr:to>
      <xdr:col>23</xdr:col>
      <xdr:colOff>1311462</xdr:colOff>
      <xdr:row>80</xdr:row>
      <xdr:rowOff>93801</xdr:rowOff>
    </xdr:to>
    <xdr:sp macro="" textlink="">
      <xdr:nvSpPr>
        <xdr:cNvPr id="10" name="Star: 5 Points 9">
          <a:extLst>
            <a:ext uri="{FF2B5EF4-FFF2-40B4-BE49-F238E27FC236}">
              <a16:creationId xmlns:a16="http://schemas.microsoft.com/office/drawing/2014/main" id="{4C166CD6-12CD-4FEA-A971-2CD3D362F0C5}"/>
            </a:ext>
          </a:extLst>
        </xdr:cNvPr>
        <xdr:cNvSpPr/>
      </xdr:nvSpPr>
      <xdr:spPr>
        <a:xfrm>
          <a:off x="18262600" y="13766800"/>
          <a:ext cx="409762" cy="487501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17</xdr:col>
      <xdr:colOff>1739116</xdr:colOff>
      <xdr:row>67</xdr:row>
      <xdr:rowOff>69323</xdr:rowOff>
    </xdr:from>
    <xdr:to>
      <xdr:col>18</xdr:col>
      <xdr:colOff>180378</xdr:colOff>
      <xdr:row>69</xdr:row>
      <xdr:rowOff>168768</xdr:rowOff>
    </xdr:to>
    <xdr:sp macro="" textlink="">
      <xdr:nvSpPr>
        <xdr:cNvPr id="13" name="Star: 5 Points 12">
          <a:extLst>
            <a:ext uri="{FF2B5EF4-FFF2-40B4-BE49-F238E27FC236}">
              <a16:creationId xmlns:a16="http://schemas.microsoft.com/office/drawing/2014/main" id="{1DF46B5A-F2D4-4957-9108-2A4A5196EF42}"/>
            </a:ext>
          </a:extLst>
        </xdr:cNvPr>
        <xdr:cNvSpPr/>
      </xdr:nvSpPr>
      <xdr:spPr>
        <a:xfrm>
          <a:off x="16844179" y="12674073"/>
          <a:ext cx="409762" cy="46457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0.64332</cdr:x>
      <cdr:y>0.62564</cdr:y>
    </cdr:from>
    <cdr:to>
      <cdr:x>0.68376</cdr:x>
      <cdr:y>0.72243</cdr:y>
    </cdr:to>
    <cdr:sp macro="" textlink="">
      <cdr:nvSpPr>
        <cdr:cNvPr id="2" name="Star: 5 Points 1">
          <a:extLst xmlns:a="http://schemas.openxmlformats.org/drawingml/2006/main">
            <a:ext uri="{FF2B5EF4-FFF2-40B4-BE49-F238E27FC236}">
              <a16:creationId xmlns:a16="http://schemas.microsoft.com/office/drawing/2014/main" id="{CD73CDD4-258B-7E85-6553-2AA05E9DD653}"/>
            </a:ext>
          </a:extLst>
        </cdr:cNvPr>
        <cdr:cNvSpPr/>
      </cdr:nvSpPr>
      <cdr:spPr>
        <a:xfrm xmlns:a="http://schemas.openxmlformats.org/drawingml/2006/main">
          <a:off x="7947517" y="2903609"/>
          <a:ext cx="499593" cy="449204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0.5042</cdr:x>
      <cdr:y>0.60393</cdr:y>
    </cdr:from>
    <cdr:to>
      <cdr:x>0.54418</cdr:x>
      <cdr:y>0.70072</cdr:y>
    </cdr:to>
    <cdr:sp macro="" textlink="">
      <cdr:nvSpPr>
        <cdr:cNvPr id="3" name="Star: 5 Points 2">
          <a:extLst xmlns:a="http://schemas.openxmlformats.org/drawingml/2006/main">
            <a:ext uri="{FF2B5EF4-FFF2-40B4-BE49-F238E27FC236}">
              <a16:creationId xmlns:a16="http://schemas.microsoft.com/office/drawing/2014/main" id="{9B171197-210F-418B-14F1-16C0F252F158}"/>
            </a:ext>
          </a:extLst>
        </cdr:cNvPr>
        <cdr:cNvSpPr/>
      </cdr:nvSpPr>
      <cdr:spPr>
        <a:xfrm xmlns:a="http://schemas.openxmlformats.org/drawingml/2006/main">
          <a:off x="6228882" y="2802851"/>
          <a:ext cx="493909" cy="449204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0.16815</cdr:x>
      <cdr:y>0.75026</cdr:y>
    </cdr:from>
    <cdr:to>
      <cdr:x>0.21059</cdr:x>
      <cdr:y>0.84704</cdr:y>
    </cdr:to>
    <cdr:sp macro="" textlink="">
      <cdr:nvSpPr>
        <cdr:cNvPr id="4" name="Star: 5 Points 3">
          <a:extLst xmlns:a="http://schemas.openxmlformats.org/drawingml/2006/main">
            <a:ext uri="{FF2B5EF4-FFF2-40B4-BE49-F238E27FC236}">
              <a16:creationId xmlns:a16="http://schemas.microsoft.com/office/drawing/2014/main" id="{529D7907-E09C-DE12-1007-7CCDD0AD279E}"/>
            </a:ext>
          </a:extLst>
        </cdr:cNvPr>
        <cdr:cNvSpPr/>
      </cdr:nvSpPr>
      <cdr:spPr>
        <a:xfrm xmlns:a="http://schemas.openxmlformats.org/drawingml/2006/main">
          <a:off x="2077332" y="3481970"/>
          <a:ext cx="524246" cy="449158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L80"/>
  <sheetViews>
    <sheetView tabSelected="1" zoomScale="80" zoomScaleNormal="80" workbookViewId="0">
      <pane ySplit="1" topLeftCell="A31" activePane="bottomLeft" state="frozen"/>
      <selection pane="bottomLeft" activeCell="G43" sqref="G43"/>
    </sheetView>
  </sheetViews>
  <sheetFormatPr defaultRowHeight="14.5" x14ac:dyDescent="0.35"/>
  <cols>
    <col min="1" max="1" width="12.36328125" customWidth="1"/>
    <col min="2" max="2" width="13.90625" customWidth="1"/>
    <col min="3" max="3" width="10.7265625" customWidth="1"/>
    <col min="4" max="4" width="21.81640625" bestFit="1" customWidth="1"/>
    <col min="5" max="5" width="11.08984375" customWidth="1"/>
    <col min="6" max="6" width="11.81640625" customWidth="1"/>
    <col min="7" max="7" width="10.6328125" customWidth="1"/>
    <col min="8" max="8" width="13.81640625" customWidth="1"/>
    <col min="9" max="9" width="13.90625" bestFit="1" customWidth="1"/>
    <col min="10" max="10" width="13.90625" style="9" customWidth="1"/>
    <col min="11" max="11" width="2.36328125" customWidth="1"/>
    <col min="12" max="12" width="29.54296875" style="21" bestFit="1" customWidth="1"/>
    <col min="13" max="13" width="11.7265625" style="21" bestFit="1" customWidth="1"/>
    <col min="14" max="14" width="2.36328125" customWidth="1"/>
    <col min="15" max="15" width="18.6328125" customWidth="1"/>
    <col min="16" max="16" width="15.26953125" customWidth="1"/>
    <col min="17" max="17" width="2.36328125" customWidth="1"/>
    <col min="18" max="18" width="28.1796875" customWidth="1"/>
    <col min="19" max="19" width="15.08984375" customWidth="1"/>
    <col min="20" max="20" width="2.36328125" customWidth="1"/>
    <col min="21" max="21" width="28.1796875" bestFit="1" customWidth="1"/>
    <col min="22" max="22" width="10.6328125" bestFit="1" customWidth="1"/>
    <col min="23" max="23" width="2.36328125" customWidth="1"/>
    <col min="24" max="24" width="19.6328125" customWidth="1"/>
    <col min="25" max="25" width="11.90625" customWidth="1"/>
    <col min="26" max="26" width="2.453125" customWidth="1"/>
    <col min="27" max="27" width="25.453125" customWidth="1"/>
    <col min="28" max="28" width="11.90625" bestFit="1" customWidth="1"/>
    <col min="29" max="29" width="2.453125" customWidth="1"/>
    <col min="30" max="30" width="15.90625" customWidth="1"/>
    <col min="31" max="31" width="10.90625" customWidth="1"/>
    <col min="32" max="32" width="2.453125" customWidth="1"/>
    <col min="33" max="33" width="12.90625" customWidth="1"/>
    <col min="34" max="34" width="13" customWidth="1"/>
    <col min="35" max="35" width="2.36328125" customWidth="1"/>
    <col min="37" max="37" width="10.453125" customWidth="1"/>
  </cols>
  <sheetData>
    <row r="1" spans="1:38" s="1" customFormat="1" ht="15.5" x14ac:dyDescent="0.35">
      <c r="A1" s="66" t="s">
        <v>0</v>
      </c>
      <c r="B1" s="66"/>
      <c r="C1" s="66" t="s">
        <v>1</v>
      </c>
      <c r="D1" s="66"/>
      <c r="E1" s="20" t="s">
        <v>112</v>
      </c>
      <c r="F1" s="66" t="s">
        <v>2</v>
      </c>
      <c r="G1" s="66"/>
      <c r="H1" s="20" t="s">
        <v>103</v>
      </c>
      <c r="I1" s="20" t="s">
        <v>118</v>
      </c>
      <c r="J1" s="20" t="s">
        <v>123</v>
      </c>
      <c r="L1" s="71" t="s">
        <v>166</v>
      </c>
      <c r="M1" s="73">
        <v>31250</v>
      </c>
      <c r="O1" s="1" t="s">
        <v>87</v>
      </c>
      <c r="P1" s="16">
        <v>87000</v>
      </c>
      <c r="R1" s="1" t="s">
        <v>129</v>
      </c>
      <c r="S1" s="16">
        <v>150000</v>
      </c>
      <c r="U1" s="27" t="s">
        <v>57</v>
      </c>
      <c r="V1" s="28">
        <v>100000</v>
      </c>
      <c r="W1" s="16"/>
      <c r="X1" s="27" t="s">
        <v>5</v>
      </c>
      <c r="Y1" s="36">
        <f>20000+5000+35000+11366</f>
        <v>71366</v>
      </c>
      <c r="Z1" s="3"/>
      <c r="AA1" s="27" t="s">
        <v>4</v>
      </c>
      <c r="AB1" s="40">
        <v>18150</v>
      </c>
      <c r="AC1" s="3"/>
      <c r="AD1" s="27" t="s">
        <v>3</v>
      </c>
      <c r="AE1" s="40">
        <v>21950</v>
      </c>
      <c r="AF1" s="4"/>
      <c r="AG1" s="27" t="s">
        <v>23</v>
      </c>
      <c r="AH1" s="27"/>
      <c r="AJ1" s="27" t="s">
        <v>6</v>
      </c>
      <c r="AK1" s="27"/>
      <c r="AL1" s="27"/>
    </row>
    <row r="2" spans="1:38" x14ac:dyDescent="0.35">
      <c r="A2" s="23">
        <v>44075</v>
      </c>
      <c r="B2" s="2">
        <v>772.3</v>
      </c>
      <c r="C2" s="23">
        <v>44075</v>
      </c>
      <c r="D2" s="2">
        <v>1489.2</v>
      </c>
      <c r="E2" s="2">
        <f>B2+D2</f>
        <v>2261.5</v>
      </c>
      <c r="F2" s="9"/>
      <c r="G2" s="2"/>
      <c r="H2" s="2"/>
      <c r="I2" s="2">
        <f t="shared" ref="I2:I6" si="0">G2+H2</f>
        <v>0</v>
      </c>
      <c r="J2" s="26">
        <f>E2+I2</f>
        <v>2261.5</v>
      </c>
      <c r="K2" s="2"/>
      <c r="L2" s="19"/>
      <c r="M2" s="19"/>
      <c r="N2" s="2"/>
      <c r="O2" s="64" t="s">
        <v>91</v>
      </c>
      <c r="P2" s="61">
        <v>2864</v>
      </c>
      <c r="Q2" s="2"/>
      <c r="T2" s="2"/>
      <c r="U2" s="29" t="s">
        <v>61</v>
      </c>
      <c r="V2" s="29">
        <v>2859</v>
      </c>
      <c r="W2" s="2"/>
      <c r="X2" s="37">
        <v>44197</v>
      </c>
      <c r="Y2" s="29">
        <f>129.1+2228.4</f>
        <v>2357.5</v>
      </c>
      <c r="Z2" s="2"/>
      <c r="AA2" s="34" t="s">
        <v>7</v>
      </c>
      <c r="AB2" s="29">
        <f>1224+180+75</f>
        <v>1479</v>
      </c>
      <c r="AC2" s="2"/>
      <c r="AD2" s="37">
        <v>44075</v>
      </c>
      <c r="AE2" s="29">
        <f>3651+2160</f>
        <v>5811</v>
      </c>
      <c r="AF2" s="2"/>
      <c r="AG2" s="37">
        <v>44075</v>
      </c>
      <c r="AH2" s="44">
        <v>3000</v>
      </c>
      <c r="AI2" s="2"/>
      <c r="AJ2" s="37">
        <v>44075</v>
      </c>
      <c r="AK2" s="29">
        <v>260.8</v>
      </c>
      <c r="AL2" s="34"/>
    </row>
    <row r="3" spans="1:38" x14ac:dyDescent="0.35">
      <c r="A3" s="23">
        <v>44105</v>
      </c>
      <c r="B3" s="2">
        <v>2878.7</v>
      </c>
      <c r="C3" s="23">
        <v>44105</v>
      </c>
      <c r="D3" s="2">
        <v>3931.6</v>
      </c>
      <c r="E3" s="2">
        <f>B3+D3</f>
        <v>6810.2999999999993</v>
      </c>
      <c r="F3" s="9"/>
      <c r="G3" s="8"/>
      <c r="H3" s="2"/>
      <c r="I3" s="2">
        <f t="shared" si="0"/>
        <v>0</v>
      </c>
      <c r="J3" s="26">
        <f t="shared" ref="J3:J43" si="1">E3+I3</f>
        <v>6810.2999999999993</v>
      </c>
      <c r="K3" s="2"/>
      <c r="L3" s="19"/>
      <c r="M3" s="19"/>
      <c r="N3" s="2"/>
      <c r="O3" s="64" t="s">
        <v>92</v>
      </c>
      <c r="P3" s="61">
        <v>2992.35</v>
      </c>
      <c r="Q3" s="2"/>
      <c r="T3" s="2"/>
      <c r="U3" s="30" t="s">
        <v>50</v>
      </c>
      <c r="V3" s="29">
        <v>2770</v>
      </c>
      <c r="W3" s="2"/>
      <c r="X3" s="37">
        <v>44228</v>
      </c>
      <c r="Y3" s="29">
        <f>4357+1861+73.1</f>
        <v>6291.1</v>
      </c>
      <c r="Z3" s="2"/>
      <c r="AA3" s="34" t="s">
        <v>8</v>
      </c>
      <c r="AB3" s="29">
        <v>564</v>
      </c>
      <c r="AC3" s="2"/>
      <c r="AD3" s="37">
        <v>44105</v>
      </c>
      <c r="AE3" s="45" t="s">
        <v>21</v>
      </c>
      <c r="AF3" s="2"/>
      <c r="AG3" s="37">
        <v>44105</v>
      </c>
      <c r="AH3" s="30" t="s">
        <v>21</v>
      </c>
      <c r="AI3" s="2"/>
      <c r="AJ3" s="37">
        <v>44105</v>
      </c>
      <c r="AK3" s="30" t="s">
        <v>21</v>
      </c>
      <c r="AL3" s="34"/>
    </row>
    <row r="4" spans="1:38" ht="15.5" x14ac:dyDescent="0.35">
      <c r="A4" s="23">
        <v>44136</v>
      </c>
      <c r="B4" s="2">
        <v>2471</v>
      </c>
      <c r="C4" s="23">
        <v>44136</v>
      </c>
      <c r="D4" s="2">
        <v>3648.6</v>
      </c>
      <c r="E4" s="2">
        <f t="shared" ref="E4:E43" si="2">B4+D4</f>
        <v>6119.6</v>
      </c>
      <c r="F4" s="9"/>
      <c r="G4" s="2"/>
      <c r="H4" s="2"/>
      <c r="I4" s="2">
        <f t="shared" si="0"/>
        <v>0</v>
      </c>
      <c r="J4" s="26">
        <f t="shared" si="1"/>
        <v>6119.6</v>
      </c>
      <c r="K4" s="2"/>
      <c r="L4" s="19"/>
      <c r="M4" s="19"/>
      <c r="N4" s="2"/>
      <c r="O4" s="64" t="s">
        <v>93</v>
      </c>
      <c r="P4" s="61">
        <v>1308</v>
      </c>
      <c r="Q4" s="2"/>
      <c r="T4" s="2"/>
      <c r="U4" s="30" t="s">
        <v>51</v>
      </c>
      <c r="V4" s="29">
        <v>3507</v>
      </c>
      <c r="W4" s="2"/>
      <c r="X4" s="37">
        <v>44256</v>
      </c>
      <c r="Y4" s="29">
        <f>218.64+186.5</f>
        <v>405.14</v>
      </c>
      <c r="Z4" s="2"/>
      <c r="AA4" s="34" t="s">
        <v>15</v>
      </c>
      <c r="AB4" s="29">
        <f>3354+200</f>
        <v>3554</v>
      </c>
      <c r="AC4" s="2"/>
      <c r="AD4" s="37">
        <v>44136</v>
      </c>
      <c r="AE4" s="29">
        <f>2471+540</f>
        <v>3011</v>
      </c>
      <c r="AF4" s="2"/>
      <c r="AG4" s="27" t="s">
        <v>22</v>
      </c>
      <c r="AH4" s="27"/>
      <c r="AI4" s="2"/>
      <c r="AJ4" s="37">
        <v>44136</v>
      </c>
      <c r="AK4" s="29">
        <v>3108.6</v>
      </c>
      <c r="AL4" s="34"/>
    </row>
    <row r="5" spans="1:38" x14ac:dyDescent="0.35">
      <c r="A5" s="23">
        <v>44166</v>
      </c>
      <c r="B5" s="2">
        <v>5905.6</v>
      </c>
      <c r="C5" s="23">
        <v>44166</v>
      </c>
      <c r="D5" s="2">
        <f>4879+360</f>
        <v>5239</v>
      </c>
      <c r="E5" s="2">
        <f t="shared" si="2"/>
        <v>11144.6</v>
      </c>
      <c r="F5" s="9"/>
      <c r="G5" s="2"/>
      <c r="H5" s="2"/>
      <c r="I5" s="2">
        <f t="shared" si="0"/>
        <v>0</v>
      </c>
      <c r="J5" s="26">
        <f t="shared" si="1"/>
        <v>11144.6</v>
      </c>
      <c r="K5" s="2"/>
      <c r="L5" s="19"/>
      <c r="M5" s="19"/>
      <c r="N5" s="2"/>
      <c r="O5" s="64" t="s">
        <v>94</v>
      </c>
      <c r="P5" s="61">
        <v>2130</v>
      </c>
      <c r="Q5" s="2"/>
      <c r="T5" s="2"/>
      <c r="U5" s="30" t="s">
        <v>68</v>
      </c>
      <c r="V5" s="31">
        <v>4319.32</v>
      </c>
      <c r="W5" s="2"/>
      <c r="X5" s="37">
        <v>44287</v>
      </c>
      <c r="Y5" s="29">
        <f>476.11+706</f>
        <v>1182.1100000000001</v>
      </c>
      <c r="Z5" s="2"/>
      <c r="AA5" s="34" t="s">
        <v>9</v>
      </c>
      <c r="AB5" s="29">
        <v>1616.3</v>
      </c>
      <c r="AC5" s="2"/>
      <c r="AD5" s="37">
        <v>44166</v>
      </c>
      <c r="AE5" s="29">
        <f>5905.6+1260</f>
        <v>7165.6</v>
      </c>
      <c r="AF5" s="2"/>
      <c r="AG5" s="34"/>
      <c r="AH5" s="29">
        <v>48</v>
      </c>
      <c r="AI5" s="2"/>
      <c r="AJ5" s="37">
        <v>44166</v>
      </c>
      <c r="AK5" s="29">
        <f>3619+360</f>
        <v>3979</v>
      </c>
      <c r="AL5" s="34"/>
    </row>
    <row r="6" spans="1:38" ht="15" thickBot="1" x14ac:dyDescent="0.4">
      <c r="A6" s="23">
        <v>44197</v>
      </c>
      <c r="B6" s="2">
        <v>5551.5</v>
      </c>
      <c r="C6" s="23">
        <v>44197</v>
      </c>
      <c r="D6" s="2">
        <f>5050+370</f>
        <v>5420</v>
      </c>
      <c r="E6" s="2">
        <f t="shared" si="2"/>
        <v>10971.5</v>
      </c>
      <c r="F6" s="9"/>
      <c r="G6" s="2"/>
      <c r="H6" s="2"/>
      <c r="I6" s="2">
        <f t="shared" si="0"/>
        <v>0</v>
      </c>
      <c r="J6" s="26">
        <f t="shared" si="1"/>
        <v>10971.5</v>
      </c>
      <c r="K6" s="2"/>
      <c r="L6" s="19"/>
      <c r="M6" s="19"/>
      <c r="N6" s="2"/>
      <c r="O6" s="54" t="s">
        <v>104</v>
      </c>
      <c r="P6" s="53">
        <v>405.42</v>
      </c>
      <c r="Q6" s="2"/>
      <c r="T6" s="2"/>
      <c r="U6" s="32" t="s">
        <v>69</v>
      </c>
      <c r="V6" s="57">
        <v>2178</v>
      </c>
      <c r="W6" s="2"/>
      <c r="X6" s="37">
        <v>44317</v>
      </c>
      <c r="Y6" s="29">
        <v>598.13</v>
      </c>
      <c r="Z6" s="2"/>
      <c r="AA6" s="34" t="s">
        <v>10</v>
      </c>
      <c r="AB6" s="29">
        <f>2376+130</f>
        <v>2506</v>
      </c>
      <c r="AC6" s="2"/>
      <c r="AD6" s="37">
        <v>44197</v>
      </c>
      <c r="AE6" s="38">
        <f>5551.5+540</f>
        <v>6091.5</v>
      </c>
      <c r="AF6" s="2"/>
      <c r="AG6" s="34"/>
      <c r="AH6" s="29">
        <v>180</v>
      </c>
      <c r="AI6" s="2"/>
      <c r="AJ6" s="37">
        <v>44197</v>
      </c>
      <c r="AK6" s="38">
        <f>2281.6+370</f>
        <v>2651.6</v>
      </c>
      <c r="AL6" s="34"/>
    </row>
    <row r="7" spans="1:38" ht="15" thickTop="1" x14ac:dyDescent="0.35">
      <c r="A7" s="23">
        <v>44228</v>
      </c>
      <c r="B7" s="2">
        <v>1861</v>
      </c>
      <c r="C7" s="23">
        <v>44228</v>
      </c>
      <c r="D7" s="2">
        <f>3732+265+360</f>
        <v>4357</v>
      </c>
      <c r="E7" s="2">
        <f t="shared" si="2"/>
        <v>6218</v>
      </c>
      <c r="F7" s="23">
        <v>44228</v>
      </c>
      <c r="G7" s="2">
        <v>73.099999999999994</v>
      </c>
      <c r="H7" s="2"/>
      <c r="I7" s="2">
        <f>G7+H7</f>
        <v>73.099999999999994</v>
      </c>
      <c r="J7" s="26">
        <f t="shared" si="1"/>
        <v>6291.1</v>
      </c>
      <c r="K7" s="2"/>
      <c r="L7" s="19"/>
      <c r="M7" s="19"/>
      <c r="N7" s="2"/>
      <c r="O7" s="64" t="s">
        <v>95</v>
      </c>
      <c r="P7" s="61">
        <v>1644</v>
      </c>
      <c r="Q7" s="2"/>
      <c r="T7" s="2"/>
      <c r="U7" s="32" t="s">
        <v>70</v>
      </c>
      <c r="V7" s="57">
        <v>2371.4</v>
      </c>
      <c r="W7" s="2"/>
      <c r="X7" s="37">
        <v>44348</v>
      </c>
      <c r="Y7" s="29">
        <v>1618.72</v>
      </c>
      <c r="Z7" s="2"/>
      <c r="AA7" s="34" t="s">
        <v>11</v>
      </c>
      <c r="AB7" s="29">
        <v>1218.5</v>
      </c>
      <c r="AC7" s="2"/>
      <c r="AD7" s="34"/>
      <c r="AE7" s="29">
        <f>SUM(AE2:AE6)</f>
        <v>22079.1</v>
      </c>
      <c r="AF7" s="2"/>
      <c r="AG7" s="34"/>
      <c r="AH7" s="29">
        <v>48</v>
      </c>
      <c r="AI7" s="2"/>
      <c r="AJ7" s="34"/>
      <c r="AK7" s="31">
        <f>SUM(AK2:AK6)</f>
        <v>10000</v>
      </c>
      <c r="AL7" s="34"/>
    </row>
    <row r="8" spans="1:38" ht="15" thickBot="1" x14ac:dyDescent="0.4">
      <c r="A8" s="23">
        <v>44256</v>
      </c>
      <c r="B8" s="2">
        <v>186.5</v>
      </c>
      <c r="C8" s="23">
        <v>44256</v>
      </c>
      <c r="D8" s="2">
        <f>180+40</f>
        <v>220</v>
      </c>
      <c r="E8" s="2">
        <f t="shared" si="2"/>
        <v>406.5</v>
      </c>
      <c r="F8" s="23">
        <v>44256</v>
      </c>
      <c r="G8" s="2">
        <v>218.64</v>
      </c>
      <c r="H8" s="2"/>
      <c r="I8" s="2">
        <f t="shared" ref="I8:I43" si="3">G8+H8</f>
        <v>218.64</v>
      </c>
      <c r="J8" s="26">
        <f t="shared" si="1"/>
        <v>625.14</v>
      </c>
      <c r="K8" s="2"/>
      <c r="L8" s="19"/>
      <c r="M8" s="19"/>
      <c r="N8" s="2"/>
      <c r="O8" s="64" t="s">
        <v>96</v>
      </c>
      <c r="P8" s="61">
        <v>1590.3</v>
      </c>
      <c r="Q8" s="2"/>
      <c r="T8" s="2"/>
      <c r="U8" s="32" t="s">
        <v>73</v>
      </c>
      <c r="V8" s="57">
        <v>4578.6899999999996</v>
      </c>
      <c r="W8" s="2"/>
      <c r="X8" s="37">
        <v>44378</v>
      </c>
      <c r="Y8" s="29">
        <v>2388.37</v>
      </c>
      <c r="Z8" s="5"/>
      <c r="AA8" s="34" t="s">
        <v>16</v>
      </c>
      <c r="AB8" s="29">
        <f>2007+140</f>
        <v>2147</v>
      </c>
      <c r="AC8" s="2"/>
      <c r="AD8" s="34"/>
      <c r="AE8" s="31">
        <f>AE1-AE7</f>
        <v>-129.09999999999854</v>
      </c>
      <c r="AF8" s="2"/>
      <c r="AG8" s="30" t="s">
        <v>18</v>
      </c>
      <c r="AH8" s="38">
        <v>1724</v>
      </c>
      <c r="AI8" s="2"/>
      <c r="AK8" s="2"/>
    </row>
    <row r="9" spans="1:38" ht="15" thickTop="1" x14ac:dyDescent="0.35">
      <c r="A9" s="23">
        <v>44287</v>
      </c>
      <c r="B9" s="2">
        <v>0</v>
      </c>
      <c r="C9" s="23">
        <v>44287</v>
      </c>
      <c r="D9" s="2">
        <f>534+180</f>
        <v>714</v>
      </c>
      <c r="E9" s="2">
        <f t="shared" si="2"/>
        <v>714</v>
      </c>
      <c r="F9" s="23">
        <v>44287</v>
      </c>
      <c r="G9" s="2">
        <v>476.11</v>
      </c>
      <c r="H9" s="2"/>
      <c r="I9" s="2">
        <f t="shared" si="3"/>
        <v>476.11</v>
      </c>
      <c r="J9" s="26">
        <f t="shared" si="1"/>
        <v>1190.1100000000001</v>
      </c>
      <c r="K9" s="2"/>
      <c r="L9" s="19"/>
      <c r="M9" s="19"/>
      <c r="N9" s="2"/>
      <c r="O9" s="54" t="s">
        <v>105</v>
      </c>
      <c r="P9" s="53">
        <v>310.56</v>
      </c>
      <c r="Q9" s="2"/>
      <c r="T9" s="2"/>
      <c r="U9" s="32" t="s">
        <v>71</v>
      </c>
      <c r="V9" s="57">
        <v>4515</v>
      </c>
      <c r="W9" s="2"/>
      <c r="X9" s="37">
        <v>44409</v>
      </c>
      <c r="Y9" s="29">
        <v>3017.75</v>
      </c>
      <c r="Z9" s="2"/>
      <c r="AA9" s="34" t="s">
        <v>17</v>
      </c>
      <c r="AB9" s="29">
        <v>2470.5</v>
      </c>
      <c r="AC9" s="2"/>
      <c r="AE9" s="2"/>
      <c r="AF9" s="2"/>
      <c r="AG9" s="34"/>
      <c r="AH9" s="31">
        <f>SUM(AH5:AH8)</f>
        <v>2000</v>
      </c>
      <c r="AI9" s="2"/>
      <c r="AJ9" s="2"/>
      <c r="AK9" s="2"/>
    </row>
    <row r="10" spans="1:38" x14ac:dyDescent="0.35">
      <c r="A10" s="23">
        <v>44317</v>
      </c>
      <c r="B10" s="2">
        <v>564</v>
      </c>
      <c r="C10" s="23">
        <v>44317</v>
      </c>
      <c r="D10" s="2">
        <f>1224+180+75</f>
        <v>1479</v>
      </c>
      <c r="E10" s="2">
        <f t="shared" si="2"/>
        <v>2043</v>
      </c>
      <c r="F10" s="23">
        <v>44317</v>
      </c>
      <c r="G10" s="2">
        <v>598.13</v>
      </c>
      <c r="H10" s="2"/>
      <c r="I10" s="2">
        <f t="shared" si="3"/>
        <v>598.13</v>
      </c>
      <c r="J10" s="26">
        <f t="shared" si="1"/>
        <v>2641.13</v>
      </c>
      <c r="K10" s="2"/>
      <c r="L10" s="19"/>
      <c r="M10" s="19"/>
      <c r="N10" s="2"/>
      <c r="O10" s="64" t="s">
        <v>97</v>
      </c>
      <c r="P10" s="61">
        <v>2628</v>
      </c>
      <c r="Q10" s="2"/>
      <c r="T10" s="2"/>
      <c r="U10" s="32" t="s">
        <v>72</v>
      </c>
      <c r="V10" s="57">
        <v>2480.9499999999998</v>
      </c>
      <c r="W10" s="2"/>
      <c r="X10" s="37">
        <v>44440</v>
      </c>
      <c r="Y10" s="29">
        <v>3774.34</v>
      </c>
      <c r="Z10" s="2"/>
      <c r="AA10" s="34" t="s">
        <v>18</v>
      </c>
      <c r="AB10" s="29">
        <f>D14-AH8</f>
        <v>933</v>
      </c>
      <c r="AC10" s="2"/>
      <c r="AD10" t="s">
        <v>52</v>
      </c>
      <c r="AE10" s="2"/>
      <c r="AF10" s="2"/>
      <c r="AH10" s="2"/>
      <c r="AI10" s="2"/>
      <c r="AK10" s="2"/>
    </row>
    <row r="11" spans="1:38" ht="15" thickBot="1" x14ac:dyDescent="0.4">
      <c r="A11" s="23">
        <v>44348</v>
      </c>
      <c r="B11" s="2">
        <v>1616.3</v>
      </c>
      <c r="C11" s="23">
        <v>44348</v>
      </c>
      <c r="D11" s="2">
        <f>3354+200</f>
        <v>3554</v>
      </c>
      <c r="E11" s="2">
        <f t="shared" si="2"/>
        <v>5170.3</v>
      </c>
      <c r="F11" s="23">
        <v>44348</v>
      </c>
      <c r="G11" s="2">
        <v>1618.72</v>
      </c>
      <c r="H11" s="2"/>
      <c r="I11" s="2">
        <f t="shared" si="3"/>
        <v>1618.72</v>
      </c>
      <c r="J11" s="26">
        <f t="shared" si="1"/>
        <v>6789.02</v>
      </c>
      <c r="K11" s="2"/>
      <c r="L11" s="19"/>
      <c r="M11" s="19"/>
      <c r="N11" s="2"/>
      <c r="O11" s="64" t="s">
        <v>98</v>
      </c>
      <c r="P11" s="61">
        <v>3349.1</v>
      </c>
      <c r="Q11" s="2"/>
      <c r="T11" s="2"/>
      <c r="U11" s="32" t="s">
        <v>74</v>
      </c>
      <c r="V11" s="57">
        <v>3598.24</v>
      </c>
      <c r="W11" s="2"/>
      <c r="X11" s="37">
        <v>44470</v>
      </c>
      <c r="Y11" s="29">
        <v>3492.27</v>
      </c>
      <c r="Z11" s="2"/>
      <c r="AA11" s="34" t="s">
        <v>19</v>
      </c>
      <c r="AB11" s="38">
        <v>2399.5</v>
      </c>
      <c r="AC11" s="2"/>
      <c r="AD11" t="s">
        <v>5</v>
      </c>
      <c r="AE11" s="2"/>
      <c r="AF11" s="2"/>
      <c r="AK11" s="2"/>
    </row>
    <row r="12" spans="1:38" ht="15" thickTop="1" x14ac:dyDescent="0.35">
      <c r="A12" s="23">
        <v>44378</v>
      </c>
      <c r="B12" s="2">
        <v>1218.5</v>
      </c>
      <c r="C12" s="23">
        <v>44378</v>
      </c>
      <c r="D12" s="2">
        <f>2376+130</f>
        <v>2506</v>
      </c>
      <c r="E12" s="2">
        <f t="shared" si="2"/>
        <v>3724.5</v>
      </c>
      <c r="F12" s="23">
        <v>44378</v>
      </c>
      <c r="G12" s="2">
        <v>2388.37</v>
      </c>
      <c r="H12" s="2"/>
      <c r="I12" s="2">
        <f t="shared" si="3"/>
        <v>2388.37</v>
      </c>
      <c r="J12" s="26">
        <f t="shared" si="1"/>
        <v>6112.87</v>
      </c>
      <c r="K12" s="2"/>
      <c r="L12" s="19"/>
      <c r="M12" s="19"/>
      <c r="N12" s="2"/>
      <c r="O12" s="54" t="s">
        <v>106</v>
      </c>
      <c r="P12" s="53">
        <v>149.16999999999999</v>
      </c>
      <c r="Q12" s="2"/>
      <c r="R12" s="7"/>
      <c r="S12" s="2"/>
      <c r="T12" s="2"/>
      <c r="U12" s="32" t="s">
        <v>75</v>
      </c>
      <c r="V12" s="57">
        <v>3936</v>
      </c>
      <c r="W12" s="2"/>
      <c r="X12" s="37">
        <v>44501</v>
      </c>
      <c r="Y12" s="29">
        <v>2147.85</v>
      </c>
      <c r="Z12" s="2"/>
      <c r="AA12" s="34"/>
      <c r="AB12" s="29">
        <f>SUM(AB2:AB11)</f>
        <v>18887.8</v>
      </c>
      <c r="AC12" s="2"/>
      <c r="AD12" t="s">
        <v>12</v>
      </c>
      <c r="AE12" s="2"/>
      <c r="AF12" s="2"/>
      <c r="AK12" s="2"/>
    </row>
    <row r="13" spans="1:38" x14ac:dyDescent="0.35">
      <c r="A13" s="23">
        <v>44409</v>
      </c>
      <c r="B13" s="2">
        <v>2470.5</v>
      </c>
      <c r="C13" s="23">
        <v>44409</v>
      </c>
      <c r="D13" s="2">
        <f>2007+140</f>
        <v>2147</v>
      </c>
      <c r="E13" s="2">
        <f t="shared" si="2"/>
        <v>4617.5</v>
      </c>
      <c r="F13" s="23">
        <v>44409</v>
      </c>
      <c r="G13" s="2">
        <v>3017.75</v>
      </c>
      <c r="H13" s="2"/>
      <c r="I13" s="2">
        <f t="shared" si="3"/>
        <v>3017.75</v>
      </c>
      <c r="J13" s="26">
        <f t="shared" si="1"/>
        <v>7635.25</v>
      </c>
      <c r="K13" s="2"/>
      <c r="L13" s="19"/>
      <c r="M13" s="19"/>
      <c r="N13" s="2"/>
      <c r="O13" s="64" t="s">
        <v>99</v>
      </c>
      <c r="P13" s="61">
        <v>1975</v>
      </c>
      <c r="Q13" s="2"/>
      <c r="T13" s="2"/>
      <c r="U13" s="32" t="s">
        <v>76</v>
      </c>
      <c r="V13" s="57">
        <v>4111.45</v>
      </c>
      <c r="W13" s="2"/>
      <c r="X13" s="37">
        <v>44531</v>
      </c>
      <c r="Y13" s="29">
        <v>3032.66</v>
      </c>
      <c r="Z13" s="2"/>
      <c r="AA13" s="34"/>
      <c r="AB13" s="31">
        <f>AB1-AB12</f>
        <v>-737.79999999999927</v>
      </c>
      <c r="AC13" s="2"/>
      <c r="AD13" t="s">
        <v>13</v>
      </c>
      <c r="AE13" s="2"/>
      <c r="AF13" s="2"/>
      <c r="AK13" s="2"/>
    </row>
    <row r="14" spans="1:38" x14ac:dyDescent="0.35">
      <c r="A14" s="23">
        <v>44440</v>
      </c>
      <c r="B14" s="2">
        <v>2399.5</v>
      </c>
      <c r="C14" s="23">
        <v>44440</v>
      </c>
      <c r="D14" s="2">
        <f>2292+240+125</f>
        <v>2657</v>
      </c>
      <c r="E14" s="2">
        <f t="shared" si="2"/>
        <v>5056.5</v>
      </c>
      <c r="F14" s="23">
        <v>44440</v>
      </c>
      <c r="G14" s="2">
        <v>3774.34</v>
      </c>
      <c r="H14" s="2"/>
      <c r="I14" s="2">
        <f t="shared" si="3"/>
        <v>3774.34</v>
      </c>
      <c r="J14" s="26">
        <f t="shared" si="1"/>
        <v>8830.84</v>
      </c>
      <c r="K14" s="2"/>
      <c r="L14" s="19"/>
      <c r="M14" s="19"/>
      <c r="N14" s="2"/>
      <c r="O14" s="64" t="s">
        <v>100</v>
      </c>
      <c r="P14" s="61">
        <v>4829.05</v>
      </c>
      <c r="Q14" s="2"/>
      <c r="T14" s="2"/>
      <c r="U14" s="32" t="s">
        <v>77</v>
      </c>
      <c r="V14" s="57">
        <v>3921.32</v>
      </c>
      <c r="W14" s="2"/>
      <c r="X14" s="30" t="s">
        <v>33</v>
      </c>
      <c r="Y14" s="31">
        <v>139.4</v>
      </c>
      <c r="Z14" s="2"/>
      <c r="AC14" s="2"/>
      <c r="AD14" s="2" t="s">
        <v>32</v>
      </c>
      <c r="AE14" s="2"/>
      <c r="AF14" s="2"/>
      <c r="AI14" s="2"/>
      <c r="AK14" s="2"/>
    </row>
    <row r="15" spans="1:38" x14ac:dyDescent="0.35">
      <c r="A15" s="23">
        <v>44470</v>
      </c>
      <c r="B15" s="2">
        <v>1985.3</v>
      </c>
      <c r="C15" s="23">
        <v>44470</v>
      </c>
      <c r="D15" s="2">
        <f>3135+180</f>
        <v>3315</v>
      </c>
      <c r="E15" s="2">
        <f t="shared" si="2"/>
        <v>5300.3</v>
      </c>
      <c r="F15" s="23">
        <v>44470</v>
      </c>
      <c r="G15" s="2">
        <v>3492.27</v>
      </c>
      <c r="H15" s="2"/>
      <c r="I15" s="2">
        <f t="shared" si="3"/>
        <v>3492.27</v>
      </c>
      <c r="J15" s="26">
        <f t="shared" si="1"/>
        <v>8792.57</v>
      </c>
      <c r="K15" s="2"/>
      <c r="L15" s="19"/>
      <c r="M15" s="19"/>
      <c r="N15" s="2"/>
      <c r="O15" s="55" t="s">
        <v>107</v>
      </c>
      <c r="P15" s="53">
        <v>243.96</v>
      </c>
      <c r="Q15" s="2"/>
      <c r="T15" s="2"/>
      <c r="U15" s="32" t="s">
        <v>78</v>
      </c>
      <c r="V15" s="57">
        <v>4320</v>
      </c>
      <c r="W15" s="2"/>
      <c r="X15" s="30" t="s">
        <v>29</v>
      </c>
      <c r="Y15" s="29">
        <v>2112</v>
      </c>
      <c r="Z15" s="2"/>
      <c r="AA15" s="35" t="s">
        <v>62</v>
      </c>
      <c r="AB15" s="34"/>
      <c r="AC15" s="2"/>
      <c r="AD15" t="s">
        <v>31</v>
      </c>
      <c r="AE15" s="2"/>
      <c r="AF15" s="2"/>
      <c r="AI15" s="2"/>
      <c r="AK15" s="2"/>
    </row>
    <row r="16" spans="1:38" ht="15.5" x14ac:dyDescent="0.35">
      <c r="A16" s="23">
        <v>44501</v>
      </c>
      <c r="B16" s="2">
        <v>2355.3000000000002</v>
      </c>
      <c r="C16" s="23">
        <v>44501</v>
      </c>
      <c r="D16" s="2">
        <f>1878+90</f>
        <v>1968</v>
      </c>
      <c r="E16" s="2">
        <f t="shared" si="2"/>
        <v>4323.3</v>
      </c>
      <c r="F16" s="23">
        <v>44501</v>
      </c>
      <c r="G16" s="2">
        <v>2147.85</v>
      </c>
      <c r="H16" s="2"/>
      <c r="I16" s="2">
        <f t="shared" si="3"/>
        <v>2147.85</v>
      </c>
      <c r="J16" s="26">
        <f t="shared" si="1"/>
        <v>6471.15</v>
      </c>
      <c r="K16" s="2"/>
      <c r="L16" s="19"/>
      <c r="M16" s="19"/>
      <c r="N16" s="2"/>
      <c r="O16" s="64" t="s">
        <v>124</v>
      </c>
      <c r="P16" s="61">
        <v>1383</v>
      </c>
      <c r="Q16" s="2"/>
      <c r="T16" s="2"/>
      <c r="U16" s="32" t="s">
        <v>79</v>
      </c>
      <c r="V16" s="57">
        <v>4256</v>
      </c>
      <c r="W16" s="2"/>
      <c r="X16" s="30" t="s">
        <v>34</v>
      </c>
      <c r="Y16" s="29">
        <v>2426.5300000000002</v>
      </c>
      <c r="Z16" s="2"/>
      <c r="AA16" s="27" t="s">
        <v>24</v>
      </c>
      <c r="AB16" s="40">
        <v>13150</v>
      </c>
      <c r="AC16" s="2"/>
      <c r="AD16" t="s">
        <v>56</v>
      </c>
      <c r="AE16" s="2"/>
      <c r="AF16" s="2"/>
      <c r="AI16" s="2"/>
      <c r="AK16" s="2"/>
    </row>
    <row r="17" spans="1:37" x14ac:dyDescent="0.35">
      <c r="A17" s="23">
        <v>44531</v>
      </c>
      <c r="B17" s="2">
        <v>2112</v>
      </c>
      <c r="C17" s="23">
        <v>44531</v>
      </c>
      <c r="D17" s="2">
        <f>2628+180+120</f>
        <v>2928</v>
      </c>
      <c r="E17" s="2">
        <f t="shared" si="2"/>
        <v>5040</v>
      </c>
      <c r="F17" s="23">
        <v>44531</v>
      </c>
      <c r="G17" s="2">
        <v>3032.66</v>
      </c>
      <c r="H17" s="2"/>
      <c r="I17" s="2">
        <f t="shared" si="3"/>
        <v>3032.66</v>
      </c>
      <c r="J17" s="26">
        <f t="shared" si="1"/>
        <v>8072.66</v>
      </c>
      <c r="K17" s="2"/>
      <c r="L17" s="19"/>
      <c r="M17" s="19"/>
      <c r="N17" s="2"/>
      <c r="O17" s="64" t="s">
        <v>125</v>
      </c>
      <c r="P17" s="61">
        <v>3878.9</v>
      </c>
      <c r="Q17" s="2"/>
      <c r="T17" s="2"/>
      <c r="U17" s="32" t="s">
        <v>80</v>
      </c>
      <c r="V17" s="57">
        <v>3738.53</v>
      </c>
      <c r="W17" s="2"/>
      <c r="X17" s="30" t="s">
        <v>35</v>
      </c>
      <c r="Y17" s="29">
        <f>2184+180+125</f>
        <v>2489</v>
      </c>
      <c r="Z17" s="2"/>
      <c r="AA17" s="34" t="s">
        <v>30</v>
      </c>
      <c r="AB17" s="31">
        <v>737.8</v>
      </c>
      <c r="AC17" s="2"/>
      <c r="AE17" s="2"/>
      <c r="AF17" s="2"/>
      <c r="AI17" s="2"/>
      <c r="AK17" s="2"/>
    </row>
    <row r="18" spans="1:37" x14ac:dyDescent="0.35">
      <c r="A18" s="23">
        <v>44562</v>
      </c>
      <c r="B18" s="2">
        <v>2484.9</v>
      </c>
      <c r="C18" s="23">
        <v>44562</v>
      </c>
      <c r="D18" s="2">
        <f>2184+180+125</f>
        <v>2489</v>
      </c>
      <c r="E18" s="2">
        <f t="shared" si="2"/>
        <v>4973.8999999999996</v>
      </c>
      <c r="F18" s="23">
        <v>44562</v>
      </c>
      <c r="G18" s="2">
        <v>2426.5300000000002</v>
      </c>
      <c r="H18" s="2"/>
      <c r="I18" s="2">
        <f t="shared" si="3"/>
        <v>2426.5300000000002</v>
      </c>
      <c r="J18" s="26">
        <f t="shared" si="1"/>
        <v>7400.43</v>
      </c>
      <c r="K18" s="2"/>
      <c r="L18" s="19"/>
      <c r="M18" s="19"/>
      <c r="N18" s="2"/>
      <c r="O18" s="54" t="s">
        <v>126</v>
      </c>
      <c r="P18" s="53">
        <v>449.49</v>
      </c>
      <c r="Q18" s="2"/>
      <c r="T18" s="2"/>
      <c r="U18" s="32" t="s">
        <v>81</v>
      </c>
      <c r="V18" s="57">
        <v>3588</v>
      </c>
      <c r="W18" s="2"/>
      <c r="X18" s="30" t="s">
        <v>36</v>
      </c>
      <c r="Y18" s="29">
        <v>2484.9</v>
      </c>
      <c r="Z18" s="2"/>
      <c r="AA18" s="34" t="s">
        <v>20</v>
      </c>
      <c r="AB18" s="41">
        <f>3135+180</f>
        <v>3315</v>
      </c>
      <c r="AC18" s="2"/>
      <c r="AD18" s="2" t="s">
        <v>14</v>
      </c>
      <c r="AE18" s="2"/>
      <c r="AF18" s="2"/>
      <c r="AI18" s="2"/>
      <c r="AK18" s="2"/>
    </row>
    <row r="19" spans="1:37" x14ac:dyDescent="0.35">
      <c r="A19" s="23">
        <v>44593</v>
      </c>
      <c r="B19" s="2">
        <v>4191.5</v>
      </c>
      <c r="C19" s="23">
        <v>44593</v>
      </c>
      <c r="D19" s="2">
        <f>3444+120</f>
        <v>3564</v>
      </c>
      <c r="E19" s="2">
        <f t="shared" si="2"/>
        <v>7755.5</v>
      </c>
      <c r="F19" s="23">
        <v>44593</v>
      </c>
      <c r="G19" s="2">
        <v>2872.53</v>
      </c>
      <c r="H19" s="2"/>
      <c r="I19" s="2">
        <f t="shared" si="3"/>
        <v>2872.53</v>
      </c>
      <c r="J19" s="26">
        <f t="shared" si="1"/>
        <v>10628.03</v>
      </c>
      <c r="K19" s="2"/>
      <c r="L19" s="19"/>
      <c r="M19" s="19"/>
      <c r="N19" s="2"/>
      <c r="O19" s="6" t="s">
        <v>134</v>
      </c>
      <c r="P19" s="2">
        <v>2094.1</v>
      </c>
      <c r="Q19" s="2"/>
      <c r="T19" s="2"/>
      <c r="U19" s="32" t="s">
        <v>82</v>
      </c>
      <c r="V19" s="57">
        <v>4245.6499999999996</v>
      </c>
      <c r="W19" s="2"/>
      <c r="X19" s="30" t="s">
        <v>37</v>
      </c>
      <c r="Y19" s="29">
        <v>2872.53</v>
      </c>
      <c r="Z19" s="2"/>
      <c r="AA19" s="34" t="s">
        <v>26</v>
      </c>
      <c r="AB19" s="29">
        <v>1985.3</v>
      </c>
      <c r="AC19" s="2"/>
      <c r="AD19" s="2"/>
      <c r="AE19" s="2"/>
      <c r="AF19" s="2"/>
      <c r="AI19" s="2"/>
      <c r="AK19" s="2"/>
    </row>
    <row r="20" spans="1:37" x14ac:dyDescent="0.35">
      <c r="A20" s="23">
        <v>44621</v>
      </c>
      <c r="B20" s="2">
        <v>2801.3</v>
      </c>
      <c r="C20" s="23">
        <v>44621</v>
      </c>
      <c r="D20" s="2">
        <v>4890</v>
      </c>
      <c r="E20" s="2">
        <f t="shared" si="2"/>
        <v>7691.3</v>
      </c>
      <c r="F20" s="23">
        <v>44621</v>
      </c>
      <c r="G20" s="2">
        <v>4590.1099999999997</v>
      </c>
      <c r="H20" s="2"/>
      <c r="I20" s="2">
        <f t="shared" si="3"/>
        <v>4590.1099999999997</v>
      </c>
      <c r="J20" s="26">
        <f t="shared" si="1"/>
        <v>12281.41</v>
      </c>
      <c r="K20" s="2"/>
      <c r="L20" s="19"/>
      <c r="M20" s="19"/>
      <c r="N20" s="2"/>
      <c r="O20" s="6" t="s">
        <v>135</v>
      </c>
      <c r="P20" s="2">
        <v>1475</v>
      </c>
      <c r="Q20" s="2"/>
      <c r="T20" s="2"/>
      <c r="U20" s="32" t="s">
        <v>83</v>
      </c>
      <c r="V20" s="57">
        <v>3419.72</v>
      </c>
      <c r="W20" s="2"/>
      <c r="X20" s="30" t="s">
        <v>38</v>
      </c>
      <c r="Y20" s="29">
        <f>3444+120</f>
        <v>3564</v>
      </c>
      <c r="Z20" s="2"/>
      <c r="AA20" s="34" t="s">
        <v>25</v>
      </c>
      <c r="AB20" s="29">
        <f>1878+90</f>
        <v>1968</v>
      </c>
      <c r="AC20" s="2"/>
      <c r="AD20" s="2" t="s">
        <v>53</v>
      </c>
      <c r="AE20" s="2"/>
      <c r="AF20" s="2"/>
      <c r="AI20" s="2"/>
      <c r="AK20" s="2"/>
    </row>
    <row r="21" spans="1:37" x14ac:dyDescent="0.35">
      <c r="A21" s="23">
        <v>44652</v>
      </c>
      <c r="B21" s="2">
        <v>2654.5</v>
      </c>
      <c r="C21" s="23">
        <v>44652</v>
      </c>
      <c r="D21" s="2">
        <f>180+3276+120</f>
        <v>3576</v>
      </c>
      <c r="E21" s="2">
        <f t="shared" si="2"/>
        <v>6230.5</v>
      </c>
      <c r="F21" s="23">
        <v>44652</v>
      </c>
      <c r="G21" s="2">
        <v>5282.77</v>
      </c>
      <c r="H21" s="2"/>
      <c r="I21" s="2">
        <f t="shared" si="3"/>
        <v>5282.77</v>
      </c>
      <c r="J21" s="26">
        <f t="shared" si="1"/>
        <v>11513.27</v>
      </c>
      <c r="K21" s="2"/>
      <c r="L21" s="19"/>
      <c r="M21" s="19"/>
      <c r="N21" s="2"/>
      <c r="O21" s="6" t="s">
        <v>132</v>
      </c>
      <c r="P21" s="2">
        <v>0</v>
      </c>
      <c r="Q21" s="2"/>
      <c r="T21" s="2"/>
      <c r="U21" s="32" t="s">
        <v>84</v>
      </c>
      <c r="V21" s="57">
        <f>1824+180</f>
        <v>2004</v>
      </c>
      <c r="W21" s="2"/>
      <c r="X21" s="30" t="s">
        <v>39</v>
      </c>
      <c r="Y21" s="29">
        <v>4191.5</v>
      </c>
      <c r="Z21" s="2"/>
      <c r="AA21" s="34" t="s">
        <v>27</v>
      </c>
      <c r="AB21" s="29">
        <v>2355.3000000000002</v>
      </c>
      <c r="AC21" s="2"/>
      <c r="AD21" s="2" t="s">
        <v>54</v>
      </c>
      <c r="AE21" s="2"/>
      <c r="AF21" s="2"/>
      <c r="AI21" s="2"/>
      <c r="AK21" s="2"/>
    </row>
    <row r="22" spans="1:37" ht="15" thickBot="1" x14ac:dyDescent="0.4">
      <c r="A22" s="23">
        <v>44682</v>
      </c>
      <c r="B22" s="2">
        <v>2374.1</v>
      </c>
      <c r="C22" s="23">
        <v>44682</v>
      </c>
      <c r="D22" s="2">
        <f>3692+180</f>
        <v>3872</v>
      </c>
      <c r="E22" s="2">
        <f t="shared" si="2"/>
        <v>6246.1</v>
      </c>
      <c r="F22" s="23">
        <v>44682</v>
      </c>
      <c r="G22" s="2">
        <v>6185.38</v>
      </c>
      <c r="H22" s="2"/>
      <c r="I22" s="2">
        <f t="shared" si="3"/>
        <v>6185.38</v>
      </c>
      <c r="J22" s="26">
        <f t="shared" si="1"/>
        <v>12431.48</v>
      </c>
      <c r="K22" s="2"/>
      <c r="L22" s="19"/>
      <c r="M22" s="19"/>
      <c r="N22" s="2"/>
      <c r="O22" s="6" t="s">
        <v>136</v>
      </c>
      <c r="P22" s="2">
        <v>4930.55</v>
      </c>
      <c r="Q22" s="2"/>
      <c r="T22" s="2"/>
      <c r="U22" s="32" t="s">
        <v>85</v>
      </c>
      <c r="V22" s="57">
        <v>2561.3000000000002</v>
      </c>
      <c r="W22" s="2"/>
      <c r="X22" s="30" t="s">
        <v>40</v>
      </c>
      <c r="Y22" s="29">
        <v>4590.1099999999997</v>
      </c>
      <c r="Z22" s="2"/>
      <c r="AA22" s="34" t="s">
        <v>28</v>
      </c>
      <c r="AB22" s="38">
        <f>2628+180+120</f>
        <v>2928</v>
      </c>
      <c r="AC22" s="2"/>
      <c r="AE22" s="14"/>
      <c r="AF22" s="2"/>
      <c r="AI22" s="2"/>
      <c r="AK22" s="2"/>
    </row>
    <row r="23" spans="1:37" ht="15" thickTop="1" x14ac:dyDescent="0.35">
      <c r="A23" s="23">
        <v>44713</v>
      </c>
      <c r="B23" s="2">
        <v>3507</v>
      </c>
      <c r="C23" s="23">
        <v>44713</v>
      </c>
      <c r="D23" s="2">
        <v>2770</v>
      </c>
      <c r="E23" s="2">
        <f t="shared" si="2"/>
        <v>6277</v>
      </c>
      <c r="F23" s="23">
        <v>44713</v>
      </c>
      <c r="G23" s="2">
        <v>4243.07</v>
      </c>
      <c r="H23" s="2"/>
      <c r="I23" s="2">
        <f t="shared" si="3"/>
        <v>4243.07</v>
      </c>
      <c r="J23" s="26">
        <f t="shared" si="1"/>
        <v>10520.07</v>
      </c>
      <c r="K23" s="2"/>
      <c r="L23" s="19"/>
      <c r="M23" s="19"/>
      <c r="N23" s="2"/>
      <c r="O23" s="6" t="s">
        <v>137</v>
      </c>
      <c r="P23" s="2">
        <v>1416</v>
      </c>
      <c r="Q23" s="2"/>
      <c r="T23" s="2"/>
      <c r="U23" s="32" t="s">
        <v>88</v>
      </c>
      <c r="V23" s="57">
        <v>2975.65</v>
      </c>
      <c r="W23" s="2"/>
      <c r="X23" s="30" t="s">
        <v>43</v>
      </c>
      <c r="Y23" s="29">
        <v>5282.78</v>
      </c>
      <c r="Z23" s="2"/>
      <c r="AA23" s="34"/>
      <c r="AB23" s="29">
        <f>SUM(AB17:AB22)</f>
        <v>13289.400000000001</v>
      </c>
      <c r="AC23" s="2"/>
      <c r="AD23" s="2" t="s">
        <v>86</v>
      </c>
      <c r="AF23" s="2"/>
      <c r="AI23" s="2"/>
      <c r="AK23" s="2"/>
    </row>
    <row r="24" spans="1:37" x14ac:dyDescent="0.35">
      <c r="A24" s="60">
        <v>44743</v>
      </c>
      <c r="B24" s="61">
        <v>2371.4</v>
      </c>
      <c r="C24" s="60">
        <v>44743</v>
      </c>
      <c r="D24" s="61">
        <v>2178</v>
      </c>
      <c r="E24" s="53">
        <f t="shared" si="2"/>
        <v>4549.3999999999996</v>
      </c>
      <c r="F24" s="60">
        <v>44743</v>
      </c>
      <c r="G24" s="61">
        <v>4798.18</v>
      </c>
      <c r="H24" s="62"/>
      <c r="I24" s="53">
        <f t="shared" si="3"/>
        <v>4798.18</v>
      </c>
      <c r="J24" s="61">
        <f t="shared" si="1"/>
        <v>9347.58</v>
      </c>
      <c r="O24" s="7" t="s">
        <v>138</v>
      </c>
      <c r="P24" s="2">
        <v>556.28</v>
      </c>
      <c r="R24" s="7" t="s">
        <v>131</v>
      </c>
      <c r="S24" s="8">
        <v>2602.11</v>
      </c>
      <c r="U24" s="32" t="s">
        <v>89</v>
      </c>
      <c r="V24" s="57">
        <v>1183.1300000000001</v>
      </c>
      <c r="X24" s="30" t="s">
        <v>46</v>
      </c>
      <c r="Y24" s="29">
        <v>6185.38</v>
      </c>
      <c r="AA24" s="34"/>
      <c r="AB24" s="31">
        <f>AB16-AB23</f>
        <v>-139.40000000000146</v>
      </c>
    </row>
    <row r="25" spans="1:37" ht="15.5" x14ac:dyDescent="0.35">
      <c r="A25" s="60">
        <v>44774</v>
      </c>
      <c r="B25" s="61">
        <v>2480.9499999999998</v>
      </c>
      <c r="C25" s="60">
        <v>44774</v>
      </c>
      <c r="D25" s="61">
        <v>4515</v>
      </c>
      <c r="E25" s="53">
        <f t="shared" si="2"/>
        <v>6995.95</v>
      </c>
      <c r="F25" s="60">
        <v>44774</v>
      </c>
      <c r="G25" s="61">
        <v>4578.6899999999996</v>
      </c>
      <c r="H25" s="62"/>
      <c r="I25" s="53">
        <f t="shared" si="3"/>
        <v>4578.6899999999996</v>
      </c>
      <c r="J25" s="61">
        <f t="shared" si="1"/>
        <v>11574.64</v>
      </c>
      <c r="O25" s="6" t="s">
        <v>143</v>
      </c>
      <c r="P25" s="2">
        <v>6244.95</v>
      </c>
      <c r="R25" s="7" t="s">
        <v>132</v>
      </c>
      <c r="S25" s="2">
        <v>139.07</v>
      </c>
      <c r="U25" s="30" t="s">
        <v>104</v>
      </c>
      <c r="V25" s="29">
        <v>136.24</v>
      </c>
      <c r="X25" s="30" t="s">
        <v>49</v>
      </c>
      <c r="Y25" s="29">
        <v>4243.07</v>
      </c>
      <c r="AA25" s="15"/>
      <c r="AD25" s="18" t="s">
        <v>58</v>
      </c>
      <c r="AE25" s="2"/>
    </row>
    <row r="26" spans="1:37" ht="15" thickBot="1" x14ac:dyDescent="0.4">
      <c r="A26" s="60">
        <v>44805</v>
      </c>
      <c r="B26" s="61">
        <v>4111.45</v>
      </c>
      <c r="C26" s="60">
        <v>44805</v>
      </c>
      <c r="D26" s="61">
        <v>3936</v>
      </c>
      <c r="E26" s="53">
        <f t="shared" si="2"/>
        <v>8047.45</v>
      </c>
      <c r="F26" s="60">
        <v>44805</v>
      </c>
      <c r="G26" s="61">
        <v>3598.24</v>
      </c>
      <c r="H26" s="62"/>
      <c r="I26" s="53">
        <f t="shared" si="3"/>
        <v>3598.24</v>
      </c>
      <c r="J26" s="61">
        <f t="shared" si="1"/>
        <v>11645.689999999999</v>
      </c>
      <c r="O26" s="6" t="s">
        <v>144</v>
      </c>
      <c r="P26" s="2">
        <v>2264</v>
      </c>
      <c r="R26" s="6" t="s">
        <v>139</v>
      </c>
      <c r="S26" s="2">
        <v>2679.51</v>
      </c>
      <c r="U26" s="32" t="s">
        <v>90</v>
      </c>
      <c r="V26" s="57">
        <v>2326.15</v>
      </c>
      <c r="X26" s="32" t="s">
        <v>67</v>
      </c>
      <c r="Y26" s="56">
        <v>4798.18</v>
      </c>
      <c r="AA26" s="35" t="s">
        <v>63</v>
      </c>
      <c r="AB26" s="34"/>
      <c r="AD26" s="17" t="s">
        <v>60</v>
      </c>
      <c r="AE26" s="2">
        <v>825</v>
      </c>
      <c r="AG26" s="10"/>
    </row>
    <row r="27" spans="1:37" ht="16" thickTop="1" x14ac:dyDescent="0.35">
      <c r="A27" s="60">
        <v>44835</v>
      </c>
      <c r="B27" s="61">
        <v>4256</v>
      </c>
      <c r="C27" s="60">
        <v>44835</v>
      </c>
      <c r="D27" s="61">
        <v>4320</v>
      </c>
      <c r="E27" s="53">
        <f t="shared" si="2"/>
        <v>8576</v>
      </c>
      <c r="F27" s="60">
        <v>44835</v>
      </c>
      <c r="G27" s="61">
        <v>3921.32</v>
      </c>
      <c r="H27" s="62"/>
      <c r="I27" s="53">
        <f t="shared" si="3"/>
        <v>3921.32</v>
      </c>
      <c r="J27" s="61">
        <f t="shared" si="1"/>
        <v>12497.32</v>
      </c>
      <c r="O27" s="7" t="s">
        <v>142</v>
      </c>
      <c r="P27" s="2">
        <v>0</v>
      </c>
      <c r="R27" s="6" t="s">
        <v>140</v>
      </c>
      <c r="S27" s="2">
        <v>0</v>
      </c>
      <c r="U27" s="30" t="s">
        <v>105</v>
      </c>
      <c r="V27" s="29">
        <v>408.72</v>
      </c>
      <c r="X27" s="34"/>
      <c r="Y27" s="29">
        <f>SUM(Y2:Y26)</f>
        <v>75685.320000000007</v>
      </c>
      <c r="AA27" s="27" t="s">
        <v>55</v>
      </c>
      <c r="AB27" s="42">
        <f>3400+4967.2+14311</f>
        <v>22678.2</v>
      </c>
      <c r="AD27" s="17" t="s">
        <v>59</v>
      </c>
      <c r="AE27" s="8">
        <v>4950</v>
      </c>
    </row>
    <row r="28" spans="1:37" x14ac:dyDescent="0.35">
      <c r="A28" s="60">
        <v>44866</v>
      </c>
      <c r="B28" s="61">
        <v>4245.6499999999996</v>
      </c>
      <c r="C28" s="60">
        <v>44866</v>
      </c>
      <c r="D28" s="61">
        <v>3588</v>
      </c>
      <c r="E28" s="53">
        <f t="shared" si="2"/>
        <v>7833.65</v>
      </c>
      <c r="F28" s="60">
        <v>44866</v>
      </c>
      <c r="G28" s="61">
        <v>3738.53</v>
      </c>
      <c r="H28" s="62"/>
      <c r="I28" s="53">
        <f t="shared" si="3"/>
        <v>3738.53</v>
      </c>
      <c r="J28" s="61">
        <f t="shared" si="1"/>
        <v>11572.18</v>
      </c>
      <c r="O28" s="6" t="s">
        <v>145</v>
      </c>
      <c r="P28" s="2">
        <v>4096.25</v>
      </c>
      <c r="R28" s="6" t="s">
        <v>141</v>
      </c>
      <c r="S28" s="2">
        <v>3258.22</v>
      </c>
      <c r="U28" s="32" t="s">
        <v>101</v>
      </c>
      <c r="V28" s="57">
        <v>2154.34</v>
      </c>
      <c r="X28" s="39"/>
      <c r="Y28" s="31">
        <f>Y1-Y27</f>
        <v>-4319.320000000007</v>
      </c>
      <c r="AA28" s="30" t="s">
        <v>41</v>
      </c>
      <c r="AB28" s="29">
        <v>4890</v>
      </c>
      <c r="AD28" s="58" t="s">
        <v>130</v>
      </c>
      <c r="AE28" s="59">
        <v>5775</v>
      </c>
    </row>
    <row r="29" spans="1:37" x14ac:dyDescent="0.35">
      <c r="A29" s="60">
        <v>44896</v>
      </c>
      <c r="B29" s="61">
        <v>2561.3000000000002</v>
      </c>
      <c r="C29" s="60">
        <v>44896</v>
      </c>
      <c r="D29" s="61">
        <f>1824+180</f>
        <v>2004</v>
      </c>
      <c r="E29" s="53">
        <f t="shared" si="2"/>
        <v>4565.3</v>
      </c>
      <c r="F29" s="60">
        <v>44896</v>
      </c>
      <c r="G29" s="61">
        <v>3419.72</v>
      </c>
      <c r="H29" s="62"/>
      <c r="I29" s="53">
        <f t="shared" si="3"/>
        <v>3419.72</v>
      </c>
      <c r="J29" s="61">
        <f t="shared" si="1"/>
        <v>7985.02</v>
      </c>
      <c r="O29" s="6" t="s">
        <v>146</v>
      </c>
      <c r="P29" s="2">
        <v>2357</v>
      </c>
      <c r="R29" s="6" t="s">
        <v>142</v>
      </c>
      <c r="S29" s="2">
        <v>0</v>
      </c>
      <c r="U29" s="30" t="s">
        <v>106</v>
      </c>
      <c r="V29" s="29">
        <v>0</v>
      </c>
      <c r="X29" s="7"/>
      <c r="AA29" s="30" t="s">
        <v>42</v>
      </c>
      <c r="AB29" s="29">
        <v>2801.3</v>
      </c>
      <c r="AD29" s="13"/>
      <c r="AG29" s="10"/>
    </row>
    <row r="30" spans="1:37" x14ac:dyDescent="0.35">
      <c r="A30" s="60">
        <v>44927</v>
      </c>
      <c r="B30" s="61">
        <v>2992.35</v>
      </c>
      <c r="C30" s="60">
        <v>44927</v>
      </c>
      <c r="D30" s="61">
        <v>2864</v>
      </c>
      <c r="E30" s="53">
        <f t="shared" si="2"/>
        <v>5856.35</v>
      </c>
      <c r="F30" s="60">
        <v>44927</v>
      </c>
      <c r="G30" s="61">
        <v>2975.65</v>
      </c>
      <c r="H30" s="63"/>
      <c r="I30" s="53">
        <f t="shared" si="3"/>
        <v>2975.65</v>
      </c>
      <c r="J30" s="61">
        <f t="shared" si="1"/>
        <v>8832</v>
      </c>
      <c r="O30" s="6" t="s">
        <v>147</v>
      </c>
      <c r="P30" s="2">
        <v>179.51</v>
      </c>
      <c r="R30" s="6" t="s">
        <v>148</v>
      </c>
      <c r="S30" s="2">
        <v>3132.25</v>
      </c>
      <c r="U30" s="32" t="s">
        <v>102</v>
      </c>
      <c r="V30" s="57">
        <v>2423.7800000000002</v>
      </c>
      <c r="Y30" s="2"/>
      <c r="AA30" s="30" t="s">
        <v>44</v>
      </c>
      <c r="AB30" s="29">
        <f>180+3276+120</f>
        <v>3576</v>
      </c>
      <c r="AD30" s="11"/>
    </row>
    <row r="31" spans="1:37" x14ac:dyDescent="0.35">
      <c r="A31" s="60">
        <v>44958</v>
      </c>
      <c r="B31" s="61">
        <v>2130</v>
      </c>
      <c r="C31" s="60">
        <v>44958</v>
      </c>
      <c r="D31" s="61">
        <v>1308</v>
      </c>
      <c r="E31" s="53">
        <f t="shared" si="2"/>
        <v>3438</v>
      </c>
      <c r="F31" s="60">
        <v>44958</v>
      </c>
      <c r="G31" s="61">
        <v>1183.1300000000001</v>
      </c>
      <c r="H31" s="53">
        <f>P6+V25</f>
        <v>541.66000000000008</v>
      </c>
      <c r="I31" s="53">
        <f t="shared" si="3"/>
        <v>1724.7900000000002</v>
      </c>
      <c r="J31" s="61">
        <f t="shared" si="1"/>
        <v>5162.79</v>
      </c>
      <c r="O31" s="6" t="s">
        <v>151</v>
      </c>
      <c r="P31" s="2">
        <v>4782.5</v>
      </c>
      <c r="R31" s="6" t="s">
        <v>147</v>
      </c>
      <c r="S31" s="2">
        <v>531.25</v>
      </c>
      <c r="U31" s="30" t="s">
        <v>107</v>
      </c>
      <c r="V31" s="29">
        <v>58.49</v>
      </c>
      <c r="AA31" s="30" t="s">
        <v>45</v>
      </c>
      <c r="AB31" s="29">
        <v>2654.5</v>
      </c>
      <c r="AD31" s="12"/>
      <c r="AE31" s="2"/>
    </row>
    <row r="32" spans="1:37" x14ac:dyDescent="0.35">
      <c r="A32" s="60">
        <v>44986</v>
      </c>
      <c r="B32" s="61">
        <v>1590.3</v>
      </c>
      <c r="C32" s="60">
        <v>44986</v>
      </c>
      <c r="D32" s="61">
        <v>1644</v>
      </c>
      <c r="E32" s="53">
        <f t="shared" si="2"/>
        <v>3234.3</v>
      </c>
      <c r="F32" s="60">
        <v>44986</v>
      </c>
      <c r="G32" s="61">
        <v>2326.15</v>
      </c>
      <c r="H32" s="53">
        <f>P9+V27</f>
        <v>719.28</v>
      </c>
      <c r="I32" s="53">
        <f t="shared" si="3"/>
        <v>3045.4300000000003</v>
      </c>
      <c r="J32" s="61">
        <f t="shared" si="1"/>
        <v>6279.7300000000005</v>
      </c>
      <c r="O32" s="6" t="s">
        <v>152</v>
      </c>
      <c r="P32" s="2">
        <v>1782</v>
      </c>
      <c r="R32" s="6" t="s">
        <v>149</v>
      </c>
      <c r="S32" s="2">
        <v>2574.0300000000002</v>
      </c>
      <c r="U32" s="32" t="s">
        <v>127</v>
      </c>
      <c r="V32" s="57">
        <v>2028.54</v>
      </c>
      <c r="AA32" s="30" t="s">
        <v>47</v>
      </c>
      <c r="AB32" s="29">
        <f>3692+180</f>
        <v>3872</v>
      </c>
      <c r="AD32" s="12"/>
    </row>
    <row r="33" spans="1:30" ht="15" thickBot="1" x14ac:dyDescent="0.4">
      <c r="A33" s="60">
        <v>45017</v>
      </c>
      <c r="B33" s="61">
        <v>3349.1</v>
      </c>
      <c r="C33" s="60">
        <v>45017</v>
      </c>
      <c r="D33" s="61">
        <v>2628</v>
      </c>
      <c r="E33" s="53">
        <f t="shared" si="2"/>
        <v>5977.1</v>
      </c>
      <c r="F33" s="60">
        <v>45017</v>
      </c>
      <c r="G33" s="61">
        <v>2154.34</v>
      </c>
      <c r="H33" s="53">
        <f>P12+V29</f>
        <v>149.16999999999999</v>
      </c>
      <c r="I33" s="53">
        <f t="shared" si="3"/>
        <v>2303.5100000000002</v>
      </c>
      <c r="J33" s="61">
        <f t="shared" si="1"/>
        <v>8280.61</v>
      </c>
      <c r="O33" s="6" t="s">
        <v>150</v>
      </c>
      <c r="P33" s="2">
        <v>210.2</v>
      </c>
      <c r="R33" s="6" t="s">
        <v>150</v>
      </c>
      <c r="S33" s="2">
        <v>272.23</v>
      </c>
      <c r="U33" s="30" t="s">
        <v>126</v>
      </c>
      <c r="V33" s="29">
        <v>288.76</v>
      </c>
      <c r="Y33" s="2"/>
      <c r="AA33" s="30" t="s">
        <v>48</v>
      </c>
      <c r="AB33" s="38">
        <v>2374.1</v>
      </c>
      <c r="AD33" s="12"/>
    </row>
    <row r="34" spans="1:30" ht="15" thickTop="1" x14ac:dyDescent="0.35">
      <c r="A34" s="60">
        <v>45047</v>
      </c>
      <c r="B34" s="61">
        <v>4829.05</v>
      </c>
      <c r="C34" s="60">
        <v>45047</v>
      </c>
      <c r="D34" s="61">
        <v>1975</v>
      </c>
      <c r="E34" s="53">
        <f t="shared" si="2"/>
        <v>6804.05</v>
      </c>
      <c r="F34" s="60">
        <v>45047</v>
      </c>
      <c r="G34" s="61">
        <v>2423.7800000000002</v>
      </c>
      <c r="H34" s="53">
        <f>P15+V31</f>
        <v>302.45</v>
      </c>
      <c r="I34" s="53">
        <f t="shared" si="3"/>
        <v>2726.23</v>
      </c>
      <c r="J34" s="61">
        <f t="shared" si="1"/>
        <v>9530.2800000000007</v>
      </c>
      <c r="O34" s="6" t="s">
        <v>157</v>
      </c>
      <c r="P34" s="2">
        <v>5304.95</v>
      </c>
      <c r="R34" s="6" t="s">
        <v>155</v>
      </c>
      <c r="S34" s="2">
        <v>1820.48</v>
      </c>
      <c r="U34" s="57" t="s">
        <v>128</v>
      </c>
      <c r="V34" s="57">
        <v>5775</v>
      </c>
      <c r="AA34" s="34"/>
      <c r="AB34" s="29">
        <f>SUM(AB28:AB33)</f>
        <v>20167.899999999998</v>
      </c>
    </row>
    <row r="35" spans="1:30" x14ac:dyDescent="0.35">
      <c r="A35" s="60">
        <v>45078</v>
      </c>
      <c r="B35" s="61">
        <v>3878.9</v>
      </c>
      <c r="C35" s="60">
        <v>45078</v>
      </c>
      <c r="D35" s="61">
        <v>1383</v>
      </c>
      <c r="E35" s="53">
        <f t="shared" si="2"/>
        <v>5261.9</v>
      </c>
      <c r="F35" s="60">
        <v>45078</v>
      </c>
      <c r="G35" s="61">
        <v>2028.54</v>
      </c>
      <c r="H35" s="53">
        <f>P18+V33</f>
        <v>738.25</v>
      </c>
      <c r="I35" s="53">
        <f t="shared" si="3"/>
        <v>2766.79</v>
      </c>
      <c r="J35" s="61">
        <f t="shared" si="1"/>
        <v>8028.69</v>
      </c>
      <c r="O35" s="6" t="s">
        <v>158</v>
      </c>
      <c r="P35" s="2">
        <v>1176</v>
      </c>
      <c r="R35" s="72" t="s">
        <v>156</v>
      </c>
      <c r="S35" s="67">
        <v>248.99</v>
      </c>
      <c r="U35" s="32" t="s">
        <v>121</v>
      </c>
      <c r="V35" s="33">
        <f>SUM(V2:V34)</f>
        <v>93038.369999999981</v>
      </c>
      <c r="AA35" s="34"/>
      <c r="AB35" s="31">
        <v>2345.59</v>
      </c>
      <c r="AC35" s="2" t="s">
        <v>66</v>
      </c>
    </row>
    <row r="36" spans="1:30" ht="15" thickBot="1" x14ac:dyDescent="0.4">
      <c r="A36" s="23">
        <v>45108</v>
      </c>
      <c r="B36" s="2">
        <v>2094.1</v>
      </c>
      <c r="C36" s="23">
        <v>45108</v>
      </c>
      <c r="D36" s="2">
        <v>1475</v>
      </c>
      <c r="E36" s="2">
        <f t="shared" si="2"/>
        <v>3569.1</v>
      </c>
      <c r="F36" s="23">
        <v>45108</v>
      </c>
      <c r="G36" s="2">
        <v>2602.11</v>
      </c>
      <c r="H36" s="2">
        <f>P21+S25</f>
        <v>139.07</v>
      </c>
      <c r="I36" s="2">
        <f t="shared" si="3"/>
        <v>2741.1800000000003</v>
      </c>
      <c r="J36" s="26">
        <f t="shared" si="1"/>
        <v>6310.2800000000007</v>
      </c>
      <c r="O36" s="72" t="s">
        <v>159</v>
      </c>
      <c r="P36" s="74">
        <v>134.19</v>
      </c>
      <c r="R36" s="72" t="s">
        <v>160</v>
      </c>
      <c r="S36" s="67">
        <v>2136.4699999999998</v>
      </c>
      <c r="U36" s="34"/>
      <c r="V36" s="34"/>
      <c r="AA36" s="34"/>
      <c r="AB36" s="43">
        <v>33290.5</v>
      </c>
      <c r="AC36" t="s">
        <v>64</v>
      </c>
    </row>
    <row r="37" spans="1:30" ht="15" thickTop="1" x14ac:dyDescent="0.35">
      <c r="A37" s="23">
        <v>45139</v>
      </c>
      <c r="B37" s="2">
        <v>4930.55</v>
      </c>
      <c r="C37" s="23">
        <v>45139</v>
      </c>
      <c r="D37" s="2">
        <v>1416</v>
      </c>
      <c r="E37" s="2">
        <f t="shared" si="2"/>
        <v>6346.55</v>
      </c>
      <c r="F37" s="23">
        <v>45139</v>
      </c>
      <c r="G37" s="2">
        <v>2679.51</v>
      </c>
      <c r="H37" s="2">
        <f>P24+S27</f>
        <v>556.28</v>
      </c>
      <c r="I37" s="2">
        <f t="shared" si="3"/>
        <v>3235.79</v>
      </c>
      <c r="J37" s="26">
        <f t="shared" si="1"/>
        <v>9582.34</v>
      </c>
      <c r="O37" s="72" t="s">
        <v>162</v>
      </c>
      <c r="P37" s="67">
        <v>3837.55</v>
      </c>
      <c r="R37" s="72" t="s">
        <v>161</v>
      </c>
      <c r="S37" s="2">
        <v>0</v>
      </c>
      <c r="U37" s="34"/>
      <c r="V37" s="34"/>
      <c r="AA37" s="34"/>
      <c r="AB37" s="31">
        <f>SUM(AB35:AB36)</f>
        <v>35636.089999999997</v>
      </c>
      <c r="AC37" t="s">
        <v>65</v>
      </c>
    </row>
    <row r="38" spans="1:30" x14ac:dyDescent="0.35">
      <c r="A38" s="23">
        <v>45170</v>
      </c>
      <c r="B38" s="2">
        <v>6244.95</v>
      </c>
      <c r="C38" s="23">
        <v>45170</v>
      </c>
      <c r="D38" s="2">
        <v>2264</v>
      </c>
      <c r="E38" s="2">
        <f t="shared" si="2"/>
        <v>8508.9500000000007</v>
      </c>
      <c r="F38" s="23">
        <v>45170</v>
      </c>
      <c r="G38" s="2">
        <v>3258.22</v>
      </c>
      <c r="H38" s="2">
        <f>P27+S29</f>
        <v>0</v>
      </c>
      <c r="I38" s="2">
        <f t="shared" si="3"/>
        <v>3258.22</v>
      </c>
      <c r="J38" s="26">
        <f t="shared" si="1"/>
        <v>11767.17</v>
      </c>
      <c r="O38" s="72" t="s">
        <v>163</v>
      </c>
      <c r="P38" s="67">
        <v>2096</v>
      </c>
      <c r="R38" s="24" t="s">
        <v>167</v>
      </c>
      <c r="S38" s="19">
        <v>2842.73</v>
      </c>
      <c r="U38" s="34"/>
      <c r="V38" s="34"/>
      <c r="AA38" s="34"/>
      <c r="AB38" s="31"/>
    </row>
    <row r="39" spans="1:30" x14ac:dyDescent="0.35">
      <c r="A39" s="23">
        <v>45200</v>
      </c>
      <c r="B39" s="2">
        <v>4096.25</v>
      </c>
      <c r="C39" s="23">
        <v>45200</v>
      </c>
      <c r="D39" s="52">
        <v>2357</v>
      </c>
      <c r="E39" s="2">
        <f t="shared" si="2"/>
        <v>6453.25</v>
      </c>
      <c r="F39" s="23">
        <v>45200</v>
      </c>
      <c r="G39" s="2">
        <v>3132.95</v>
      </c>
      <c r="H39" s="2">
        <f>P30+S31</f>
        <v>710.76</v>
      </c>
      <c r="I39" s="2">
        <f t="shared" si="3"/>
        <v>3843.71</v>
      </c>
      <c r="J39" s="26">
        <f t="shared" si="1"/>
        <v>10296.959999999999</v>
      </c>
      <c r="O39" s="72" t="s">
        <v>161</v>
      </c>
      <c r="P39" s="67">
        <v>221.78</v>
      </c>
      <c r="R39" s="24" t="s">
        <v>168</v>
      </c>
      <c r="S39" s="19">
        <v>221.79</v>
      </c>
      <c r="U39" s="34"/>
      <c r="V39" s="34"/>
      <c r="AA39" s="34"/>
      <c r="AB39" s="31"/>
    </row>
    <row r="40" spans="1:30" x14ac:dyDescent="0.35">
      <c r="A40" s="23">
        <v>45231</v>
      </c>
      <c r="B40" s="2">
        <v>4782.5</v>
      </c>
      <c r="C40" s="23">
        <v>45231</v>
      </c>
      <c r="D40" s="2">
        <v>1782</v>
      </c>
      <c r="E40" s="2">
        <f t="shared" si="2"/>
        <v>6564.5</v>
      </c>
      <c r="F40" s="23">
        <v>45231</v>
      </c>
      <c r="G40" s="2">
        <v>2574.0300000000002</v>
      </c>
      <c r="H40" s="2">
        <f>P33+S33</f>
        <v>482.43</v>
      </c>
      <c r="I40" s="2">
        <f t="shared" si="3"/>
        <v>3056.46</v>
      </c>
      <c r="J40" s="26">
        <f t="shared" si="1"/>
        <v>9620.9599999999991</v>
      </c>
      <c r="O40" s="75" t="s">
        <v>170</v>
      </c>
      <c r="P40" s="76">
        <v>3744.35</v>
      </c>
      <c r="R40" s="24" t="s">
        <v>169</v>
      </c>
      <c r="S40" s="19">
        <v>237.1</v>
      </c>
      <c r="U40" s="34"/>
      <c r="V40" s="34"/>
      <c r="AA40" s="34"/>
      <c r="AB40" s="31"/>
    </row>
    <row r="41" spans="1:30" x14ac:dyDescent="0.35">
      <c r="A41" s="23">
        <v>45261</v>
      </c>
      <c r="B41" s="2">
        <v>5304.95</v>
      </c>
      <c r="C41" s="23">
        <v>45261</v>
      </c>
      <c r="D41" s="2">
        <v>1176</v>
      </c>
      <c r="E41" s="2">
        <f t="shared" si="2"/>
        <v>6480.95</v>
      </c>
      <c r="F41" s="23">
        <v>45261</v>
      </c>
      <c r="G41" s="2">
        <v>1820.48</v>
      </c>
      <c r="H41" s="67">
        <f>P36+S35</f>
        <v>383.18</v>
      </c>
      <c r="I41" s="2">
        <f t="shared" si="3"/>
        <v>2203.66</v>
      </c>
      <c r="J41" s="26">
        <f t="shared" si="1"/>
        <v>8684.61</v>
      </c>
      <c r="O41" s="75" t="s">
        <v>171</v>
      </c>
      <c r="P41" s="76">
        <v>2172</v>
      </c>
      <c r="U41" s="34"/>
      <c r="V41" s="34"/>
      <c r="AA41" s="34"/>
      <c r="AB41" s="31"/>
    </row>
    <row r="42" spans="1:30" x14ac:dyDescent="0.35">
      <c r="A42" s="68">
        <v>45292</v>
      </c>
      <c r="B42" s="67">
        <v>3837.55</v>
      </c>
      <c r="C42" s="68">
        <v>45292</v>
      </c>
      <c r="D42" s="69">
        <v>2096</v>
      </c>
      <c r="E42" s="67">
        <f t="shared" ref="E42" si="4">B42+D42</f>
        <v>5933.55</v>
      </c>
      <c r="F42" s="68">
        <v>45292</v>
      </c>
      <c r="G42" s="67">
        <v>2136.4699999999998</v>
      </c>
      <c r="H42" s="67">
        <f>S37+P39</f>
        <v>221.78</v>
      </c>
      <c r="I42" s="67">
        <f t="shared" ref="I42" si="5">G42+H42</f>
        <v>2358.25</v>
      </c>
      <c r="J42" s="70">
        <f t="shared" ref="J42" si="6">E42+I42</f>
        <v>8291.7999999999993</v>
      </c>
      <c r="O42" s="75" t="s">
        <v>168</v>
      </c>
      <c r="P42" s="76">
        <v>0</v>
      </c>
      <c r="U42" s="34"/>
      <c r="V42" s="34"/>
      <c r="AA42" s="34"/>
      <c r="AB42" s="31"/>
    </row>
    <row r="43" spans="1:30" ht="29" x14ac:dyDescent="0.35">
      <c r="A43" s="46">
        <v>45323</v>
      </c>
      <c r="B43" s="19">
        <f>P40+S40</f>
        <v>3981.45</v>
      </c>
      <c r="C43" s="46">
        <v>45323</v>
      </c>
      <c r="D43" s="65">
        <f>P41</f>
        <v>2172</v>
      </c>
      <c r="E43" s="19">
        <f t="shared" si="2"/>
        <v>6153.45</v>
      </c>
      <c r="F43" s="46">
        <v>45323</v>
      </c>
      <c r="G43" s="19">
        <f>S38</f>
        <v>2842.73</v>
      </c>
      <c r="H43" s="19">
        <f>S39+P42</f>
        <v>221.79</v>
      </c>
      <c r="I43" s="19">
        <f t="shared" si="3"/>
        <v>3064.52</v>
      </c>
      <c r="J43" s="25">
        <f t="shared" si="1"/>
        <v>9217.9699999999993</v>
      </c>
      <c r="O43" s="77" t="s">
        <v>172</v>
      </c>
      <c r="P43" s="76">
        <v>5775</v>
      </c>
      <c r="U43" s="34"/>
      <c r="V43" s="34"/>
      <c r="AA43" s="34"/>
      <c r="AB43" s="31"/>
    </row>
    <row r="44" spans="1:30" x14ac:dyDescent="0.35">
      <c r="A44" s="23"/>
      <c r="B44" s="67"/>
      <c r="C44" s="23"/>
      <c r="D44" s="69"/>
      <c r="E44" s="67"/>
      <c r="F44" s="23"/>
      <c r="G44" s="67"/>
      <c r="H44" s="67"/>
      <c r="I44" s="67"/>
      <c r="J44" s="70"/>
      <c r="U44" s="34"/>
      <c r="V44" s="34"/>
      <c r="AA44" s="34"/>
      <c r="AB44" s="31"/>
    </row>
    <row r="46" spans="1:30" x14ac:dyDescent="0.35">
      <c r="A46" s="49" t="s">
        <v>173</v>
      </c>
      <c r="B46" s="21"/>
      <c r="C46" s="21"/>
      <c r="D46" s="25">
        <f>SUM(J32:J43)</f>
        <v>105891.4</v>
      </c>
      <c r="E46" s="25"/>
      <c r="F46" s="49" t="s">
        <v>174</v>
      </c>
      <c r="G46" s="21"/>
      <c r="H46" s="21"/>
      <c r="I46" s="21"/>
      <c r="J46" s="25">
        <f>D46/12</f>
        <v>8824.2833333333328</v>
      </c>
      <c r="L46" s="47" t="s">
        <v>121</v>
      </c>
      <c r="M46" s="25">
        <f>SUM(M2:M43)</f>
        <v>0</v>
      </c>
      <c r="O46" s="47" t="s">
        <v>121</v>
      </c>
      <c r="P46" s="25">
        <f>SUM(P2:P43)</f>
        <v>88980.46</v>
      </c>
      <c r="R46" s="47" t="s">
        <v>121</v>
      </c>
      <c r="S46" s="48">
        <f>SUM(S12:S43)</f>
        <v>22696.230000000003</v>
      </c>
      <c r="U46" s="49" t="s">
        <v>108</v>
      </c>
      <c r="V46" s="48">
        <f>V1-V35</f>
        <v>6961.6300000000192</v>
      </c>
    </row>
    <row r="47" spans="1:30" x14ac:dyDescent="0.35">
      <c r="A47" s="49" t="s">
        <v>164</v>
      </c>
      <c r="B47" s="49"/>
      <c r="C47" s="49"/>
      <c r="D47" s="21"/>
      <c r="E47" s="21"/>
      <c r="F47" s="21"/>
      <c r="G47" s="21"/>
      <c r="H47" s="21"/>
      <c r="I47" s="21"/>
      <c r="J47" s="49"/>
      <c r="O47" s="21"/>
      <c r="P47" s="21"/>
      <c r="R47" s="21"/>
      <c r="S47" s="21"/>
    </row>
    <row r="48" spans="1:30" x14ac:dyDescent="0.35">
      <c r="A48" s="21"/>
      <c r="B48" s="47" t="s">
        <v>119</v>
      </c>
      <c r="C48" s="49">
        <v>263</v>
      </c>
      <c r="D48" s="21" t="s">
        <v>175</v>
      </c>
      <c r="E48" s="21"/>
      <c r="F48" s="21"/>
      <c r="G48" s="21"/>
      <c r="H48" s="21"/>
      <c r="I48" s="21"/>
      <c r="J48" s="49"/>
      <c r="L48" s="49" t="s">
        <v>108</v>
      </c>
      <c r="M48" s="48">
        <f>M1-M46</f>
        <v>31250</v>
      </c>
      <c r="O48" s="49" t="s">
        <v>108</v>
      </c>
      <c r="P48" s="48">
        <f>P1-P46</f>
        <v>-1980.4600000000064</v>
      </c>
      <c r="R48" s="49" t="s">
        <v>108</v>
      </c>
      <c r="S48" s="48">
        <f>S1-S46</f>
        <v>127303.76999999999</v>
      </c>
    </row>
    <row r="49" spans="1:25" x14ac:dyDescent="0.35">
      <c r="A49" s="21"/>
      <c r="B49" s="47" t="s">
        <v>120</v>
      </c>
      <c r="C49" s="49">
        <v>231</v>
      </c>
      <c r="D49" s="21" t="s">
        <v>176</v>
      </c>
      <c r="E49" s="21"/>
      <c r="F49" s="21"/>
      <c r="G49" s="21"/>
      <c r="H49" s="21"/>
      <c r="I49" s="21"/>
      <c r="J49" s="49"/>
      <c r="O49" s="21"/>
      <c r="P49" s="21"/>
      <c r="R49" s="21"/>
      <c r="S49" s="21"/>
    </row>
    <row r="50" spans="1:25" x14ac:dyDescent="0.35">
      <c r="A50" s="21"/>
      <c r="B50" s="47" t="s">
        <v>153</v>
      </c>
      <c r="C50" s="49">
        <v>117</v>
      </c>
      <c r="D50" s="21"/>
      <c r="E50" s="21"/>
      <c r="F50" s="21"/>
      <c r="G50" s="21"/>
      <c r="H50" s="21"/>
      <c r="I50" s="21"/>
      <c r="J50" s="49"/>
      <c r="O50" s="22" t="s">
        <v>109</v>
      </c>
      <c r="P50" s="19">
        <f>AVERAGE(E38:E43)</f>
        <v>6682.4416666666666</v>
      </c>
      <c r="R50" s="22" t="s">
        <v>113</v>
      </c>
      <c r="S50" s="19">
        <f>AVERAGE(I38:I43)</f>
        <v>2964.1366666666668</v>
      </c>
    </row>
    <row r="51" spans="1:25" x14ac:dyDescent="0.35">
      <c r="A51" s="21"/>
      <c r="B51" s="47" t="s">
        <v>154</v>
      </c>
      <c r="C51" s="49">
        <f>C48+C49-C50</f>
        <v>377</v>
      </c>
      <c r="D51" s="21"/>
      <c r="E51" s="21"/>
      <c r="F51" s="21"/>
      <c r="G51" s="21"/>
      <c r="H51" s="21"/>
      <c r="I51" s="21"/>
      <c r="J51" s="49"/>
      <c r="O51" s="22" t="s">
        <v>110</v>
      </c>
      <c r="P51" s="50">
        <f>P48/P50</f>
        <v>-0.29636771988282823</v>
      </c>
      <c r="R51" s="22" t="s">
        <v>110</v>
      </c>
      <c r="S51" s="50">
        <f>S48/S50</f>
        <v>42.948009594699293</v>
      </c>
    </row>
    <row r="52" spans="1:25" x14ac:dyDescent="0.35">
      <c r="O52" s="22" t="s">
        <v>111</v>
      </c>
      <c r="P52" s="51">
        <f>A41+(P51*30)</f>
        <v>45252.108968403518</v>
      </c>
      <c r="R52" s="22" t="s">
        <v>111</v>
      </c>
      <c r="S52" s="51">
        <f>A41+(S51*30)</f>
        <v>46549.440287840982</v>
      </c>
    </row>
    <row r="60" spans="1:25" x14ac:dyDescent="0.35">
      <c r="Y60" t="s">
        <v>114</v>
      </c>
    </row>
    <row r="63" spans="1:25" x14ac:dyDescent="0.35">
      <c r="Y63" t="s">
        <v>115</v>
      </c>
    </row>
    <row r="66" spans="25:25" x14ac:dyDescent="0.35">
      <c r="Y66" t="s">
        <v>116</v>
      </c>
    </row>
    <row r="69" spans="25:25" x14ac:dyDescent="0.35">
      <c r="Y69" t="s">
        <v>117</v>
      </c>
    </row>
    <row r="73" spans="25:25" x14ac:dyDescent="0.35">
      <c r="Y73" t="s">
        <v>122</v>
      </c>
    </row>
    <row r="76" spans="25:25" x14ac:dyDescent="0.35">
      <c r="Y76" t="s">
        <v>133</v>
      </c>
    </row>
    <row r="80" spans="25:25" x14ac:dyDescent="0.35">
      <c r="Y80" t="s">
        <v>165</v>
      </c>
    </row>
  </sheetData>
  <mergeCells count="3">
    <mergeCell ref="C1:D1"/>
    <mergeCell ref="F1:G1"/>
    <mergeCell ref="A1:B1"/>
  </mergeCells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2024-03-21T20:09:45Z</dcterms:modified>
</cp:coreProperties>
</file>