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30317_documents/"/>
    </mc:Choice>
  </mc:AlternateContent>
  <xr:revisionPtr revIDLastSave="78" documentId="13_ncr:1_{0E808EE8-BCA5-443C-9931-4B919EE4CAED}" xr6:coauthVersionLast="47" xr6:coauthVersionMax="47" xr10:uidLastSave="{E4BC213E-B4A3-47FF-8A79-E77986D3E37F}"/>
  <bookViews>
    <workbookView xWindow="28680" yWindow="-120" windowWidth="20730" windowHeight="1116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1" l="1"/>
  <c r="L36" i="1"/>
  <c r="O36" i="1"/>
  <c r="O34" i="1"/>
  <c r="O37" i="1" s="1"/>
  <c r="O38" i="1" s="1"/>
  <c r="L3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" i="1"/>
  <c r="L37" i="1" l="1"/>
  <c r="D29" i="1" l="1"/>
  <c r="O21" i="1"/>
  <c r="L25" i="1" l="1"/>
  <c r="O32" i="1" l="1"/>
  <c r="U37" i="1" l="1"/>
  <c r="U32" i="1" l="1"/>
  <c r="D22" i="1"/>
  <c r="U30" i="1" l="1"/>
  <c r="D21" i="1"/>
  <c r="U27" i="1" l="1"/>
  <c r="U34" i="1" l="1"/>
  <c r="R1" i="1" l="1"/>
  <c r="R20" i="1" l="1"/>
  <c r="D19" i="1"/>
  <c r="R17" i="1" l="1"/>
  <c r="D18" i="1"/>
  <c r="D16" i="1" l="1"/>
  <c r="U22" i="1" l="1"/>
  <c r="D17" i="1"/>
  <c r="U20" i="1" l="1"/>
  <c r="U18" i="1" l="1"/>
  <c r="U23" i="1" s="1"/>
  <c r="U24" i="1" s="1"/>
  <c r="D15" i="1"/>
  <c r="D14" i="1" l="1"/>
  <c r="D13" i="1"/>
  <c r="U8" i="1"/>
  <c r="U10" i="1" l="1"/>
  <c r="AA9" i="1"/>
  <c r="D10" i="1" l="1"/>
  <c r="D12" i="1"/>
  <c r="U2" i="1" l="1"/>
  <c r="U6" i="1"/>
  <c r="U4" i="1" l="1"/>
  <c r="U12" i="1" s="1"/>
  <c r="U13" i="1" s="1"/>
  <c r="D11" i="1"/>
  <c r="D9" i="1" l="1"/>
  <c r="D8" i="1"/>
  <c r="D7" i="1"/>
  <c r="D6" i="1"/>
  <c r="D5" i="1"/>
  <c r="R5" i="1"/>
  <c r="R4" i="1"/>
  <c r="R3" i="1"/>
  <c r="R2" i="1"/>
  <c r="X6" i="1"/>
  <c r="X5" i="1"/>
  <c r="X4" i="1"/>
  <c r="X2" i="1"/>
  <c r="AD6" i="1"/>
  <c r="AD5" i="1"/>
  <c r="R27" i="1" l="1"/>
  <c r="R28" i="1" s="1"/>
  <c r="AD7" i="1"/>
  <c r="X7" i="1"/>
  <c r="X8" i="1" s="1"/>
</calcChain>
</file>

<file path=xl/sharedStrings.xml><?xml version="1.0" encoding="utf-8"?>
<sst xmlns="http://schemas.openxmlformats.org/spreadsheetml/2006/main" count="126" uniqueCount="119">
  <si>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</si>
  <si>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</si>
  <si>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</si>
  <si>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</si>
  <si>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</si>
  <si>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</si>
  <si>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</si>
  <si>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</si>
  <si>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</si>
  <si>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</si>
  <si>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</si>
  <si>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</si>
  <si>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</si>
  <si>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</si>
  <si>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</si>
  <si>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</si>
  <si>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</si>
  <si>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</si>
  <si>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</si>
  <si>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</si>
  <si>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</si>
  <si>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</si>
  <si>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</si>
  <si>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</si>
  <si>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</si>
  <si>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</si>
  <si>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</si>
  <si>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</si>
  <si>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</si>
  <si>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</si>
  <si>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</si>
  <si>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</si>
  <si>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</si>
  <si>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</si>
  <si>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</si>
  <si>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</si>
  <si>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</si>
  <si>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</si>
  <si>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</si>
  <si>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</si>
  <si>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</si>
  <si>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</si>
  <si>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</si>
  <si>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</si>
  <si>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</si>
  <si>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</si>
  <si>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</si>
  <si>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</si>
  <si>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</si>
  <si>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</si>
  <si>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</si>
  <si>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</si>
  <si>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</si>
  <si>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</si>
  <si>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</si>
  <si>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</si>
  <si>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</si>
  <si>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</si>
  <si>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</si>
  <si>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</si>
  <si>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</si>
  <si>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</si>
  <si>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</si>
  <si>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</si>
  <si>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</si>
  <si>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</si>
  <si>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</si>
  <si>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</si>
  <si>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</si>
  <si>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</si>
  <si>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</si>
  <si>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</si>
  <si>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</si>
  <si>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</si>
  <si>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</si>
  <si>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</si>
  <si>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</si>
  <si>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</si>
  <si>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</si>
  <si>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</si>
  <si>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</si>
  <si>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</si>
  <si>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</si>
  <si>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</si>
  <si>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</si>
  <si>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</si>
  <si>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</si>
  <si>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</si>
  <si>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</si>
  <si>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</si>
  <si>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</si>
  <si>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</si>
  <si>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</si>
  <si>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</si>
  <si>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</si>
  <si>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</si>
  <si>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</si>
  <si>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</si>
  <si>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</si>
  <si>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JFK May-23</t>
  </si>
  <si>
    <t>Tommy's May-23</t>
  </si>
  <si>
    <t>Uber Apr-23</t>
  </si>
  <si>
    <t>Uber May-23</t>
  </si>
  <si>
    <t>Annex Invoices</t>
  </si>
  <si>
    <t>Annex Jan-23</t>
  </si>
  <si>
    <t>Annex Feb-23</t>
  </si>
  <si>
    <t>Annex Mar-23</t>
  </si>
  <si>
    <t>Annex Apr-23</t>
  </si>
  <si>
    <t>Annex May-23</t>
  </si>
  <si>
    <t>Total Taxi</t>
  </si>
  <si>
    <t>REMAINING</t>
  </si>
  <si>
    <t>Avg taxi, last 6 months</t>
  </si>
  <si>
    <t>Avg Uber, last 6 months</t>
  </si>
  <si>
    <t># months funding remaining</t>
  </si>
  <si>
    <t>Estimated $0 balance</t>
  </si>
  <si>
    <t>Items highlighted reflect changes since last review</t>
  </si>
  <si>
    <t>March 2021 Go Sudbury Taxi suspended except for COVID vaccination rides</t>
  </si>
  <si>
    <t>Feb 1 2023 = Ride limits reduced to 4 Taxi and 6 Uber / mo</t>
  </si>
  <si>
    <t>July 2022 = We had all riders re-subscribe; changed from 50+ to 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</si>
</sst>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164" fontId="0" fillId="2" borderId="0" xfId="0" applyNumberFormat="1" applyFill="1"/>
    <xf numFmtId="8" fontId="0" fillId="0" borderId="0" xfId="0" applyNumberFormat="1"/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66" fontId="0" fillId="2" borderId="0" xfId="0" applyNumberFormat="1" applyFill="1"/>
    <xf numFmtId="17" fontId="0" fillId="2" borderId="0" xfId="0" applyNumberFormat="1" applyFill="1"/>
    <xf numFmtId="166" fontId="0" fillId="0" borderId="0" xfId="0" applyNumberForma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Spend</a:t>
            </a:r>
          </a:p>
        </c:rich>
      </c:tx>
      <c:layout>
        <c:manualLayout>
          <c:xMode val="edge"/>
          <c:yMode val="edge"/>
          <c:x val="0.4245183191493047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UBER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Sheet1!$F$2:$F$31</c:f>
              <c:numCache>
                <c:formatCode>mmm\-yy</c:formatCode>
                <c:ptCount val="30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</c:numCache>
            </c:numRef>
          </c:cat>
          <c:val>
            <c:numRef>
              <c:f>Sheet1!$G$2:$G$31</c:f>
              <c:numCache>
                <c:formatCode>"$"#,##0.00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73.099999999999994</c:v>
                </c:pt>
                <c:pt idx="6">
                  <c:v>218.64</c:v>
                </c:pt>
                <c:pt idx="7">
                  <c:v>476.11</c:v>
                </c:pt>
                <c:pt idx="8">
                  <c:v>598.13</c:v>
                </c:pt>
                <c:pt idx="9">
                  <c:v>1618.72</c:v>
                </c:pt>
                <c:pt idx="10">
                  <c:v>2388.37</c:v>
                </c:pt>
                <c:pt idx="11">
                  <c:v>3017.75</c:v>
                </c:pt>
                <c:pt idx="12">
                  <c:v>3774.34</c:v>
                </c:pt>
                <c:pt idx="13">
                  <c:v>3492.27</c:v>
                </c:pt>
                <c:pt idx="14">
                  <c:v>2147.85</c:v>
                </c:pt>
                <c:pt idx="15">
                  <c:v>3032.66</c:v>
                </c:pt>
                <c:pt idx="16">
                  <c:v>2426.5300000000002</c:v>
                </c:pt>
                <c:pt idx="17">
                  <c:v>2872.53</c:v>
                </c:pt>
                <c:pt idx="18">
                  <c:v>4590.1099999999997</c:v>
                </c:pt>
                <c:pt idx="19">
                  <c:v>5282.77</c:v>
                </c:pt>
                <c:pt idx="20">
                  <c:v>6185.38</c:v>
                </c:pt>
                <c:pt idx="21">
                  <c:v>4243.07</c:v>
                </c:pt>
                <c:pt idx="22">
                  <c:v>4798.18</c:v>
                </c:pt>
                <c:pt idx="23">
                  <c:v>4578.6899999999996</c:v>
                </c:pt>
                <c:pt idx="24">
                  <c:v>3598.24</c:v>
                </c:pt>
                <c:pt idx="25">
                  <c:v>3921.32</c:v>
                </c:pt>
                <c:pt idx="26">
                  <c:v>3738.53</c:v>
                </c:pt>
                <c:pt idx="27">
                  <c:v>3419.72</c:v>
                </c:pt>
                <c:pt idx="28">
                  <c:v>2975.65</c:v>
                </c:pt>
                <c:pt idx="29">
                  <c:v>1183.1300000000001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B0-41FE-A42B-250DD6F5A572}"/>
            </c:ext>
          </c:extLst>
        </c:ser>
        <c:ser>
          <c:idx val="1"/>
          <c:order val="1"/>
          <c:tx>
            <c:v>TAXI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Sheet1!$F$2:$F$31</c:f>
              <c:numCache>
                <c:formatCode>mmm\-yy</c:formatCode>
                <c:ptCount val="30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</c:numCache>
            </c:numRef>
          </c:cat>
          <c:val>
            <c:numRef>
              <c:f>Sheet1!$E$2:$E$31</c:f>
              <c:numCache>
                <c:formatCode>"$"#,##0.00</c:formatCode>
                <c:ptCount val="30"/>
                <c:pt idx="0">
                  <c:v>2261.5</c:v>
                </c:pt>
                <c:pt idx="1">
                  <c:v>6810.2999999999993</c:v>
                </c:pt>
                <c:pt idx="2">
                  <c:v>6119.6</c:v>
                </c:pt>
                <c:pt idx="3">
                  <c:v>11144.6</c:v>
                </c:pt>
                <c:pt idx="4">
                  <c:v>10971.5</c:v>
                </c:pt>
                <c:pt idx="5">
                  <c:v>6218</c:v>
                </c:pt>
                <c:pt idx="6">
                  <c:v>406.5</c:v>
                </c:pt>
                <c:pt idx="7">
                  <c:v>714</c:v>
                </c:pt>
                <c:pt idx="8">
                  <c:v>2043</c:v>
                </c:pt>
                <c:pt idx="9">
                  <c:v>5170.3</c:v>
                </c:pt>
                <c:pt idx="10">
                  <c:v>3724.5</c:v>
                </c:pt>
                <c:pt idx="11">
                  <c:v>4617.5</c:v>
                </c:pt>
                <c:pt idx="12">
                  <c:v>5056.5</c:v>
                </c:pt>
                <c:pt idx="13">
                  <c:v>5300.3</c:v>
                </c:pt>
                <c:pt idx="14">
                  <c:v>4323.3</c:v>
                </c:pt>
                <c:pt idx="15">
                  <c:v>5040</c:v>
                </c:pt>
                <c:pt idx="16">
                  <c:v>4973.8999999999996</c:v>
                </c:pt>
                <c:pt idx="17">
                  <c:v>7755.5</c:v>
                </c:pt>
                <c:pt idx="18">
                  <c:v>7691.3</c:v>
                </c:pt>
                <c:pt idx="19">
                  <c:v>6230.5</c:v>
                </c:pt>
                <c:pt idx="20">
                  <c:v>6246.1</c:v>
                </c:pt>
                <c:pt idx="21">
                  <c:v>6277</c:v>
                </c:pt>
                <c:pt idx="22">
                  <c:v>4549.3999999999996</c:v>
                </c:pt>
                <c:pt idx="23">
                  <c:v>6995.95</c:v>
                </c:pt>
                <c:pt idx="24">
                  <c:v>8047.45</c:v>
                </c:pt>
                <c:pt idx="25">
                  <c:v>8576</c:v>
                </c:pt>
                <c:pt idx="26">
                  <c:v>7833.65</c:v>
                </c:pt>
                <c:pt idx="27">
                  <c:v>4565.3</c:v>
                </c:pt>
                <c:pt idx="28">
                  <c:v>5856.35</c:v>
                </c:pt>
                <c:pt idx="29">
                  <c:v>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0-41FE-A42B-250DD6F5A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7472"/>
        <c:axId val="36909552"/>
      </c:lineChart>
      <c:dateAx>
        <c:axId val="36907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9552"/>
        <c:crosses val="autoZero"/>
        <c:auto val="1"/>
        <c:lblOffset val="100"/>
        <c:baseTimeUnit val="months"/>
      </c:dateAx>
      <c:valAx>
        <c:axId val="369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25150016120913"/>
          <c:y val="0.40146564176651395"/>
          <c:w val="9.3735805541871081E-2"/>
          <c:h val="9.0294520811990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521074</xdr:colOff>
      <xdr:row>39</xdr:row>
      <xdr:rowOff>29881</xdr:rowOff>
    </xdr:from>
    <xdr:to>
      <xdr:col>16</xdr:col>
      <xdr:colOff>414618</xdr:colOff>
      <xdr:row>65</xdr:row>
      <xdr:rowOff>112058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753969</xdr:colOff>
      <xdr:row>51</xdr:row>
      <xdr:rowOff>52854</xdr:rowOff>
    </xdr:from>
    <xdr:to>
      <xdr:col>16</xdr:col>
      <xdr:colOff>1154206</xdr:colOff>
      <xdr:row>53</xdr:row>
      <xdr:rowOff>163232</xdr:rowOff>
    </xdr:to>
    <xdr:sp macro="" textlink="">
      <xdr:nvSpPr>
        <xdr:cNvPr id="4" name="Star: 5 Point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971057" y="9488207"/>
          <a:ext cx="400237" cy="468966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16</xdr:col>
      <xdr:colOff>742763</xdr:colOff>
      <xdr:row>57</xdr:row>
      <xdr:rowOff>52853</xdr:rowOff>
    </xdr:from>
    <xdr:to>
      <xdr:col>16</xdr:col>
      <xdr:colOff>1146175</xdr:colOff>
      <xdr:row>59</xdr:row>
      <xdr:rowOff>156881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959851" y="10563971"/>
          <a:ext cx="403412" cy="462616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16</xdr:col>
      <xdr:colOff>750794</xdr:colOff>
      <xdr:row>54</xdr:row>
      <xdr:rowOff>44823</xdr:rowOff>
    </xdr:from>
    <xdr:to>
      <xdr:col>16</xdr:col>
      <xdr:colOff>1157381</xdr:colOff>
      <xdr:row>56</xdr:row>
      <xdr:rowOff>155200</xdr:rowOff>
    </xdr:to>
    <xdr:sp macro="" textlink="">
      <xdr:nvSpPr>
        <xdr:cNvPr id="6" name="Star: 5 Point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967882" y="10018058"/>
          <a:ext cx="406587" cy="468966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16</xdr:col>
      <xdr:colOff>731557</xdr:colOff>
      <xdr:row>60</xdr:row>
      <xdr:rowOff>27267</xdr:rowOff>
    </xdr:from>
    <xdr:to>
      <xdr:col>16</xdr:col>
      <xdr:colOff>1141319</xdr:colOff>
      <xdr:row>62</xdr:row>
      <xdr:rowOff>137645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948645" y="11076267"/>
          <a:ext cx="409762" cy="468966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0.79515</cdr:x>
      <cdr:y>0.54676</cdr:y>
    </cdr:from>
    <cdr:to>
      <cdr:x>0.85476</cdr:x>
      <cdr:y>0.64355</cdr:y>
    </cdr:to>
    <cdr:sp macro="" textlink="">
      <cdr:nvSpPr>
        <cdr:cNvPr id="2" name="Star: 5 Points 1">
          <a:extLst xmlns:a="http://schemas.openxmlformats.org/drawingml/2006/main">
            <a:ext uri="{FF2B5EF4-FFF2-40B4-BE49-F238E27FC236}">
              <a16:creationId xmlns:a16="http://schemas.microsoft.com/office/drawing/2014/main" id="{CD73CDD4-258B-7E85-6553-2AA05E9DD653}"/>
            </a:ext>
          </a:extLst>
        </cdr:cNvPr>
        <cdr:cNvSpPr/>
      </cdr:nvSpPr>
      <cdr:spPr>
        <a:xfrm xmlns:a="http://schemas.openxmlformats.org/drawingml/2006/main">
          <a:off x="5381251" y="2595470"/>
          <a:ext cx="403412" cy="459441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0.64003</cdr:x>
      <cdr:y>0.6103</cdr:y>
    </cdr:from>
    <cdr:to>
      <cdr:x>0.69964</cdr:x>
      <cdr:y>0.70709</cdr:y>
    </cdr:to>
    <cdr:sp macro="" textlink="">
      <cdr:nvSpPr>
        <cdr:cNvPr id="3" name="Star: 5 Points 2">
          <a:extLst xmlns:a="http://schemas.openxmlformats.org/drawingml/2006/main">
            <a:ext uri="{FF2B5EF4-FFF2-40B4-BE49-F238E27FC236}">
              <a16:creationId xmlns:a16="http://schemas.microsoft.com/office/drawing/2014/main" id="{9B171197-210F-418B-14F1-16C0F252F158}"/>
            </a:ext>
          </a:extLst>
        </cdr:cNvPr>
        <cdr:cNvSpPr/>
      </cdr:nvSpPr>
      <cdr:spPr>
        <a:xfrm xmlns:a="http://schemas.openxmlformats.org/drawingml/2006/main">
          <a:off x="4331447" y="2897094"/>
          <a:ext cx="403412" cy="459441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0.24925</cdr:x>
      <cdr:y>0.71653</cdr:y>
    </cdr:from>
    <cdr:to>
      <cdr:x>0.30886</cdr:x>
      <cdr:y>0.81331</cdr:y>
    </cdr:to>
    <cdr:sp macro="" textlink="">
      <cdr:nvSpPr>
        <cdr:cNvPr id="4" name="Star: 5 Points 3">
          <a:extLst xmlns:a="http://schemas.openxmlformats.org/drawingml/2006/main">
            <a:ext uri="{FF2B5EF4-FFF2-40B4-BE49-F238E27FC236}">
              <a16:creationId xmlns:a16="http://schemas.microsoft.com/office/drawing/2014/main" id="{529D7907-E09C-DE12-1007-7CCDD0AD279E}"/>
            </a:ext>
          </a:extLst>
        </cdr:cNvPr>
        <cdr:cNvSpPr/>
      </cdr:nvSpPr>
      <cdr:spPr>
        <a:xfrm xmlns:a="http://schemas.openxmlformats.org/drawingml/2006/main">
          <a:off x="1686859" y="3401359"/>
          <a:ext cx="403412" cy="459441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D59"/>
  <sheetViews>
    <sheetView tabSelected="1" zoomScale="80" zoomScaleNormal="80" workbookViewId="0">
      <pane ySplit="1" topLeftCell="A4" activePane="bottomLeft" state="frozen"/>
      <selection pane="bottomLeft" activeCell="N34" sqref="N34:O38"/>
    </sheetView>
  </sheetViews>
  <sheetFormatPr defaultRowHeight="14.5" x14ac:dyDescent="0.35"/>
  <cols>
    <col min="2" max="2" width="13.90625" customWidth="1"/>
    <col min="4" max="5" width="11.08984375" customWidth="1"/>
    <col min="7" max="7" width="10.6328125" customWidth="1"/>
    <col min="8" max="8" width="8.1796875" customWidth="1"/>
    <col min="9" max="9" width="10.81640625" customWidth="1"/>
    <col min="10" max="10" width="2.36328125" customWidth="1"/>
    <col min="11" max="11" width="18.6328125" customWidth="1"/>
    <col min="12" max="12" width="11.453125" customWidth="1"/>
    <col min="13" max="13" width="2.36328125" customWidth="1"/>
    <col min="14" max="14" width="23.453125" customWidth="1"/>
    <col min="15" max="15" width="10.6328125" bestFit="1" customWidth="1"/>
    <col min="16" max="16" width="2.36328125" customWidth="1"/>
    <col min="17" max="17" width="19.6328125" customWidth="1"/>
    <col min="18" max="18" width="11.90625" customWidth="1"/>
    <col min="19" max="19" width="2.453125" customWidth="1"/>
    <col min="20" max="20" width="25.453125" customWidth="1"/>
    <col min="21" max="21" width="11.90625" bestFit="1" customWidth="1"/>
    <col min="22" max="22" width="2.453125" customWidth="1"/>
    <col min="23" max="23" width="15.90625" customWidth="1"/>
    <col min="24" max="24" width="10.90625" customWidth="1"/>
    <col min="25" max="25" width="2.453125" customWidth="1"/>
    <col min="26" max="26" width="12.90625" customWidth="1"/>
    <col min="27" max="27" width="13" customWidth="1"/>
    <col min="28" max="28" width="2.36328125" customWidth="1"/>
    <col min="30" max="30" width="10.453125" customWidth="1"/>
  </cols>
  <sheetData>
    <row r="1" spans="1:30" s="2" customFormat="1" ht="15.5" x14ac:dyDescent="0.35">
      <c r="A1" s="36" t="s">
        <v>0</v>
      </c>
      <c r="B1" s="36"/>
      <c r="C1" s="36" t="s">
        <v>1</v>
      </c>
      <c r="D1" s="36"/>
      <c r="E1" s="30" t="s">
        <v>109</v>
      </c>
      <c r="F1" s="36" t="s">
        <v>2</v>
      </c>
      <c r="G1" s="36"/>
      <c r="H1" s="36" t="s">
        <v>103</v>
      </c>
      <c r="I1" s="36"/>
      <c r="K1" s="2" t="s">
        <v>87</v>
      </c>
      <c r="L1" s="22">
        <v>87000</v>
      </c>
      <c r="N1" s="2" t="s">
        <v>57</v>
      </c>
      <c r="O1" s="22">
        <v>100000</v>
      </c>
      <c r="P1" s="22"/>
      <c r="Q1" s="2" t="s">
        <v>5</v>
      </c>
      <c r="R1" s="13">
        <f>20000+5000+35000+11366</f>
        <v>71366</v>
      </c>
      <c r="S1" s="4"/>
      <c r="T1" s="2" t="s">
        <v>4</v>
      </c>
      <c r="U1" s="4">
        <v>18150</v>
      </c>
      <c r="V1" s="4"/>
      <c r="W1" s="2" t="s">
        <v>3</v>
      </c>
      <c r="X1" s="4">
        <v>21950</v>
      </c>
      <c r="Y1" s="5"/>
      <c r="Z1" s="2" t="s">
        <v>23</v>
      </c>
      <c r="AC1" s="2" t="s">
        <v>6</v>
      </c>
    </row>
    <row r="2" spans="1:30" x14ac:dyDescent="0.35">
      <c r="A2" s="1">
        <v>44075</v>
      </c>
      <c r="B2" s="3">
        <v>772.3</v>
      </c>
      <c r="C2" s="1">
        <v>44075</v>
      </c>
      <c r="D2" s="3">
        <v>1489.2</v>
      </c>
      <c r="E2" s="3">
        <f>B2+D2</f>
        <v>2261.5</v>
      </c>
      <c r="F2" s="1">
        <v>44075</v>
      </c>
      <c r="G2" s="3">
        <v>0</v>
      </c>
      <c r="H2" s="3"/>
      <c r="I2" s="3"/>
      <c r="J2" s="3"/>
      <c r="K2" s="9" t="s">
        <v>91</v>
      </c>
      <c r="L2" s="3">
        <v>2864</v>
      </c>
      <c r="M2" s="3"/>
      <c r="N2" s="3" t="s">
        <v>61</v>
      </c>
      <c r="O2" s="3">
        <v>2859</v>
      </c>
      <c r="P2" s="3"/>
      <c r="Q2" s="1">
        <v>44197</v>
      </c>
      <c r="R2" s="3">
        <f>129.1+2228.4</f>
        <v>2357.5</v>
      </c>
      <c r="S2" s="3"/>
      <c r="T2" t="s">
        <v>7</v>
      </c>
      <c r="U2" s="3">
        <f>1224+180+75</f>
        <v>1479</v>
      </c>
      <c r="V2" s="3"/>
      <c r="W2" s="1">
        <v>44075</v>
      </c>
      <c r="X2" s="3">
        <f>3651+2160</f>
        <v>5811</v>
      </c>
      <c r="Y2" s="3"/>
      <c r="Z2" s="1">
        <v>44075</v>
      </c>
      <c r="AA2" s="12">
        <v>3000</v>
      </c>
      <c r="AB2" s="3"/>
      <c r="AC2" s="1">
        <v>44075</v>
      </c>
      <c r="AD2" s="3">
        <v>260.8</v>
      </c>
    </row>
    <row r="3" spans="1:30" x14ac:dyDescent="0.35">
      <c r="A3" s="1">
        <v>44105</v>
      </c>
      <c r="B3" s="3">
        <v>2878.7</v>
      </c>
      <c r="C3" s="1">
        <v>44105</v>
      </c>
      <c r="D3" s="3">
        <v>3931.6</v>
      </c>
      <c r="E3" s="3">
        <f t="shared" ref="E3:E31" si="0">B3+D3</f>
        <v>6810.2999999999993</v>
      </c>
      <c r="F3" s="1">
        <v>44105</v>
      </c>
      <c r="G3" s="10">
        <v>0</v>
      </c>
      <c r="H3" s="3"/>
      <c r="I3" s="3"/>
      <c r="J3" s="3"/>
      <c r="K3" s="9" t="s">
        <v>92</v>
      </c>
      <c r="L3" s="3">
        <v>2992.35</v>
      </c>
      <c r="M3" s="3"/>
      <c r="N3" s="9" t="s">
        <v>50</v>
      </c>
      <c r="O3" s="3">
        <v>2770</v>
      </c>
      <c r="P3" s="3"/>
      <c r="Q3" s="1">
        <v>44228</v>
      </c>
      <c r="R3" s="3">
        <f>4357+1861+73.1</f>
        <v>6291.1</v>
      </c>
      <c r="S3" s="3"/>
      <c r="T3" t="s">
        <v>8</v>
      </c>
      <c r="U3" s="3">
        <v>564</v>
      </c>
      <c r="V3" s="3"/>
      <c r="W3" s="1">
        <v>44105</v>
      </c>
      <c r="X3" s="8" t="s">
        <v>21</v>
      </c>
      <c r="Y3" s="3"/>
      <c r="Z3" s="1">
        <v>44105</v>
      </c>
      <c r="AA3" s="9" t="s">
        <v>21</v>
      </c>
      <c r="AB3" s="3"/>
      <c r="AC3" s="1">
        <v>44105</v>
      </c>
      <c r="AD3" s="9" t="s">
        <v>21</v>
      </c>
    </row>
    <row r="4" spans="1:30" ht="15.5" x14ac:dyDescent="0.35">
      <c r="A4" s="1">
        <v>44136</v>
      </c>
      <c r="B4" s="3">
        <v>2471</v>
      </c>
      <c r="C4" s="1">
        <v>44136</v>
      </c>
      <c r="D4" s="3">
        <v>3648.6</v>
      </c>
      <c r="E4" s="3">
        <f t="shared" si="0"/>
        <v>6119.6</v>
      </c>
      <c r="F4" s="1">
        <v>44136</v>
      </c>
      <c r="G4" s="3">
        <v>0</v>
      </c>
      <c r="H4" s="3"/>
      <c r="I4" s="3"/>
      <c r="J4" s="3"/>
      <c r="K4" s="9" t="s">
        <v>104</v>
      </c>
      <c r="L4" s="3"/>
      <c r="M4" s="3"/>
      <c r="N4" s="9" t="s">
        <v>51</v>
      </c>
      <c r="O4" s="3">
        <v>3507</v>
      </c>
      <c r="P4" s="3"/>
      <c r="Q4" s="1">
        <v>44256</v>
      </c>
      <c r="R4" s="3">
        <f>218.64+186.5</f>
        <v>405.14</v>
      </c>
      <c r="S4" s="3"/>
      <c r="T4" t="s">
        <v>15</v>
      </c>
      <c r="U4" s="3">
        <f>3354+200</f>
        <v>3554</v>
      </c>
      <c r="V4" s="3"/>
      <c r="W4" s="1">
        <v>44136</v>
      </c>
      <c r="X4" s="3">
        <f>2471+540</f>
        <v>3011</v>
      </c>
      <c r="Y4" s="3"/>
      <c r="Z4" s="2" t="s">
        <v>22</v>
      </c>
      <c r="AA4" s="2"/>
      <c r="AB4" s="3"/>
      <c r="AC4" s="1">
        <v>44136</v>
      </c>
      <c r="AD4" s="3">
        <v>3108.6</v>
      </c>
    </row>
    <row r="5" spans="1:30" x14ac:dyDescent="0.35">
      <c r="A5" s="1">
        <v>44166</v>
      </c>
      <c r="B5" s="3">
        <v>5905.6</v>
      </c>
      <c r="C5" s="1">
        <v>44166</v>
      </c>
      <c r="D5" s="3">
        <f>4879+360</f>
        <v>5239</v>
      </c>
      <c r="E5" s="3">
        <f t="shared" si="0"/>
        <v>11144.6</v>
      </c>
      <c r="F5" s="1">
        <v>44166</v>
      </c>
      <c r="G5" s="3">
        <v>0</v>
      </c>
      <c r="H5" s="3"/>
      <c r="I5" s="3"/>
      <c r="J5" s="3"/>
      <c r="K5" s="9" t="s">
        <v>93</v>
      </c>
      <c r="L5" s="3">
        <v>1308</v>
      </c>
      <c r="M5" s="3"/>
      <c r="N5" s="9" t="s">
        <v>68</v>
      </c>
      <c r="O5" s="7">
        <v>4319.32</v>
      </c>
      <c r="P5" s="3"/>
      <c r="Q5" s="1">
        <v>44287</v>
      </c>
      <c r="R5" s="3">
        <f>476.11+706</f>
        <v>1182.1100000000001</v>
      </c>
      <c r="S5" s="3"/>
      <c r="T5" t="s">
        <v>9</v>
      </c>
      <c r="U5" s="3">
        <v>1616.3</v>
      </c>
      <c r="V5" s="3"/>
      <c r="W5" s="1">
        <v>44166</v>
      </c>
      <c r="X5" s="3">
        <f>5905.6+1260</f>
        <v>7165.6</v>
      </c>
      <c r="Y5" s="3"/>
      <c r="AA5" s="3">
        <v>48</v>
      </c>
      <c r="AB5" s="3"/>
      <c r="AC5" s="1">
        <v>44166</v>
      </c>
      <c r="AD5" s="3">
        <f>3619+360</f>
        <v>3979</v>
      </c>
    </row>
    <row r="6" spans="1:30" ht="15" thickBot="1" x14ac:dyDescent="0.4">
      <c r="A6" s="1">
        <v>44197</v>
      </c>
      <c r="B6" s="3">
        <v>5551.5</v>
      </c>
      <c r="C6" s="1">
        <v>44197</v>
      </c>
      <c r="D6" s="3">
        <f>5050+370</f>
        <v>5420</v>
      </c>
      <c r="E6" s="3">
        <f t="shared" si="0"/>
        <v>10971.5</v>
      </c>
      <c r="F6" s="1">
        <v>44197</v>
      </c>
      <c r="G6" s="3">
        <v>0</v>
      </c>
      <c r="H6" s="3"/>
      <c r="I6" s="3"/>
      <c r="J6" s="3"/>
      <c r="K6" s="9" t="s">
        <v>94</v>
      </c>
      <c r="L6" s="3">
        <v>2130</v>
      </c>
      <c r="M6" s="3"/>
      <c r="N6" s="9" t="s">
        <v>69</v>
      </c>
      <c r="O6" s="3">
        <v>2178</v>
      </c>
      <c r="P6" s="3"/>
      <c r="Q6" s="1">
        <v>44317</v>
      </c>
      <c r="R6" s="3">
        <v>598.13</v>
      </c>
      <c r="S6" s="3"/>
      <c r="T6" t="s">
        <v>10</v>
      </c>
      <c r="U6" s="3">
        <f>2376+130</f>
        <v>2506</v>
      </c>
      <c r="V6" s="3"/>
      <c r="W6" s="1">
        <v>44197</v>
      </c>
      <c r="X6" s="6">
        <f>5551.5+540</f>
        <v>6091.5</v>
      </c>
      <c r="Y6" s="3"/>
      <c r="AA6" s="3">
        <v>180</v>
      </c>
      <c r="AB6" s="3"/>
      <c r="AC6" s="1">
        <v>44197</v>
      </c>
      <c r="AD6" s="6">
        <f>2281.6+370</f>
        <v>2651.6</v>
      </c>
    </row>
    <row r="7" spans="1:30" ht="15" thickTop="1" x14ac:dyDescent="0.35">
      <c r="A7" s="1">
        <v>44228</v>
      </c>
      <c r="B7" s="3">
        <v>1861</v>
      </c>
      <c r="C7" s="1">
        <v>44228</v>
      </c>
      <c r="D7" s="3">
        <f>3732+265+360</f>
        <v>4357</v>
      </c>
      <c r="E7" s="3">
        <f t="shared" si="0"/>
        <v>6218</v>
      </c>
      <c r="F7" s="1">
        <v>44228</v>
      </c>
      <c r="G7" s="3">
        <v>73.099999999999994</v>
      </c>
      <c r="H7" s="3"/>
      <c r="I7" s="3"/>
      <c r="J7" s="3"/>
      <c r="K7" s="9" t="s">
        <v>105</v>
      </c>
      <c r="L7" s="3"/>
      <c r="M7" s="3"/>
      <c r="N7" s="9" t="s">
        <v>70</v>
      </c>
      <c r="O7" s="3">
        <v>2371.4</v>
      </c>
      <c r="P7" s="3"/>
      <c r="Q7" s="1">
        <v>44348</v>
      </c>
      <c r="R7" s="3">
        <v>1618.72</v>
      </c>
      <c r="S7" s="3"/>
      <c r="T7" t="s">
        <v>11</v>
      </c>
      <c r="U7" s="3">
        <v>1218.5</v>
      </c>
      <c r="V7" s="3"/>
      <c r="X7" s="3">
        <f>SUM(X2:X6)</f>
        <v>22079.1</v>
      </c>
      <c r="Y7" s="3"/>
      <c r="AA7" s="3">
        <v>48</v>
      </c>
      <c r="AB7" s="3"/>
      <c r="AD7" s="7">
        <f>SUM(AD2:AD6)</f>
        <v>10000</v>
      </c>
    </row>
    <row r="8" spans="1:30" ht="15" thickBot="1" x14ac:dyDescent="0.4">
      <c r="A8" s="1">
        <v>44256</v>
      </c>
      <c r="B8" s="3">
        <v>186.5</v>
      </c>
      <c r="C8" s="1">
        <v>44256</v>
      </c>
      <c r="D8" s="3">
        <f>180+40</f>
        <v>220</v>
      </c>
      <c r="E8" s="3">
        <f t="shared" si="0"/>
        <v>406.5</v>
      </c>
      <c r="F8" s="1">
        <v>44256</v>
      </c>
      <c r="G8" s="3">
        <v>218.64</v>
      </c>
      <c r="H8" s="3"/>
      <c r="I8" s="3"/>
      <c r="J8" s="3"/>
      <c r="K8" s="9" t="s">
        <v>95</v>
      </c>
      <c r="L8" s="3"/>
      <c r="M8" s="3"/>
      <c r="N8" s="9" t="s">
        <v>73</v>
      </c>
      <c r="O8" s="3">
        <v>4578.6899999999996</v>
      </c>
      <c r="P8" s="3"/>
      <c r="Q8" s="1">
        <v>44378</v>
      </c>
      <c r="R8" s="3">
        <v>2388.37</v>
      </c>
      <c r="S8" s="7"/>
      <c r="T8" t="s">
        <v>16</v>
      </c>
      <c r="U8" s="3">
        <f>2007+140</f>
        <v>2147</v>
      </c>
      <c r="V8" s="3"/>
      <c r="X8" s="7">
        <f>X1-X7</f>
        <v>-129.09999999999854</v>
      </c>
      <c r="Y8" s="3"/>
      <c r="Z8" s="9" t="s">
        <v>18</v>
      </c>
      <c r="AA8" s="6">
        <v>1724</v>
      </c>
      <c r="AB8" s="3"/>
      <c r="AD8" s="3"/>
    </row>
    <row r="9" spans="1:30" ht="15" thickTop="1" x14ac:dyDescent="0.35">
      <c r="A9" s="1">
        <v>44287</v>
      </c>
      <c r="B9" s="3">
        <v>0</v>
      </c>
      <c r="C9" s="1">
        <v>44287</v>
      </c>
      <c r="D9" s="3">
        <f>534+180</f>
        <v>714</v>
      </c>
      <c r="E9" s="3">
        <f t="shared" si="0"/>
        <v>714</v>
      </c>
      <c r="F9" s="1">
        <v>44287</v>
      </c>
      <c r="G9" s="3">
        <v>476.11</v>
      </c>
      <c r="H9" s="3"/>
      <c r="I9" s="3"/>
      <c r="J9" s="3"/>
      <c r="K9" s="9" t="s">
        <v>96</v>
      </c>
      <c r="L9" s="3"/>
      <c r="M9" s="3"/>
      <c r="N9" s="9" t="s">
        <v>71</v>
      </c>
      <c r="O9" s="3">
        <v>4515</v>
      </c>
      <c r="P9" s="3"/>
      <c r="Q9" s="1">
        <v>44409</v>
      </c>
      <c r="R9" s="3">
        <v>3017.75</v>
      </c>
      <c r="S9" s="3"/>
      <c r="T9" t="s">
        <v>17</v>
      </c>
      <c r="U9" s="3">
        <v>2470.5</v>
      </c>
      <c r="V9" s="3"/>
      <c r="X9" s="3"/>
      <c r="Y9" s="3"/>
      <c r="AA9" s="7">
        <f>SUM(AA5:AA8)</f>
        <v>2000</v>
      </c>
      <c r="AB9" s="3"/>
      <c r="AC9" s="3"/>
      <c r="AD9" s="3"/>
    </row>
    <row r="10" spans="1:30" x14ac:dyDescent="0.35">
      <c r="A10" s="1">
        <v>44317</v>
      </c>
      <c r="B10" s="3">
        <v>564</v>
      </c>
      <c r="C10" s="1">
        <v>44317</v>
      </c>
      <c r="D10" s="3">
        <f>1224+180+75</f>
        <v>1479</v>
      </c>
      <c r="E10" s="3">
        <f t="shared" si="0"/>
        <v>2043</v>
      </c>
      <c r="F10" s="1">
        <v>44317</v>
      </c>
      <c r="G10" s="3">
        <v>598.13</v>
      </c>
      <c r="H10" s="3"/>
      <c r="I10" s="3"/>
      <c r="J10" s="3"/>
      <c r="K10" s="9" t="s">
        <v>106</v>
      </c>
      <c r="L10" s="3"/>
      <c r="M10" s="3"/>
      <c r="N10" s="9" t="s">
        <v>72</v>
      </c>
      <c r="O10" s="3">
        <v>2480.9499999999998</v>
      </c>
      <c r="P10" s="3"/>
      <c r="Q10" s="1">
        <v>44440</v>
      </c>
      <c r="R10" s="3">
        <v>3774.34</v>
      </c>
      <c r="S10" s="3"/>
      <c r="T10" t="s">
        <v>18</v>
      </c>
      <c r="U10" s="3">
        <f>D14-AA8</f>
        <v>933</v>
      </c>
      <c r="V10" s="3"/>
      <c r="W10" t="s">
        <v>52</v>
      </c>
      <c r="X10" s="3"/>
      <c r="Y10" s="3"/>
      <c r="AA10" s="3"/>
      <c r="AB10" s="3"/>
      <c r="AD10" s="3"/>
    </row>
    <row r="11" spans="1:30" ht="15" thickBot="1" x14ac:dyDescent="0.4">
      <c r="A11" s="1">
        <v>44348</v>
      </c>
      <c r="B11" s="3">
        <v>1616.3</v>
      </c>
      <c r="C11" s="1">
        <v>44348</v>
      </c>
      <c r="D11" s="3">
        <f>3354+200</f>
        <v>3554</v>
      </c>
      <c r="E11" s="3">
        <f t="shared" si="0"/>
        <v>5170.3</v>
      </c>
      <c r="F11" s="1">
        <v>44348</v>
      </c>
      <c r="G11" s="3">
        <v>1618.72</v>
      </c>
      <c r="H11" s="3"/>
      <c r="I11" s="3"/>
      <c r="J11" s="3"/>
      <c r="K11" s="9" t="s">
        <v>97</v>
      </c>
      <c r="L11" s="3"/>
      <c r="M11" s="3"/>
      <c r="N11" s="9" t="s">
        <v>74</v>
      </c>
      <c r="O11" s="3">
        <v>3598.24</v>
      </c>
      <c r="P11" s="3"/>
      <c r="Q11" s="1">
        <v>44470</v>
      </c>
      <c r="R11" s="3">
        <v>3492.27</v>
      </c>
      <c r="S11" s="3"/>
      <c r="T11" t="s">
        <v>19</v>
      </c>
      <c r="U11" s="6">
        <v>2399.5</v>
      </c>
      <c r="V11" s="3"/>
      <c r="W11" t="s">
        <v>5</v>
      </c>
      <c r="X11" s="3"/>
      <c r="Y11" s="3"/>
      <c r="AD11" s="3"/>
    </row>
    <row r="12" spans="1:30" ht="15" thickTop="1" x14ac:dyDescent="0.35">
      <c r="A12" s="1">
        <v>44378</v>
      </c>
      <c r="B12" s="3">
        <v>1218.5</v>
      </c>
      <c r="C12" s="1">
        <v>44378</v>
      </c>
      <c r="D12" s="3">
        <f>2376+130</f>
        <v>2506</v>
      </c>
      <c r="E12" s="3">
        <f t="shared" si="0"/>
        <v>3724.5</v>
      </c>
      <c r="F12" s="1">
        <v>44378</v>
      </c>
      <c r="G12" s="3">
        <v>2388.37</v>
      </c>
      <c r="H12" s="3"/>
      <c r="I12" s="3"/>
      <c r="J12" s="3"/>
      <c r="K12" s="9" t="s">
        <v>98</v>
      </c>
      <c r="L12" s="3"/>
      <c r="M12" s="3"/>
      <c r="N12" s="9" t="s">
        <v>75</v>
      </c>
      <c r="O12" s="3">
        <v>3936</v>
      </c>
      <c r="P12" s="3"/>
      <c r="Q12" s="1">
        <v>44501</v>
      </c>
      <c r="R12" s="3">
        <v>2147.85</v>
      </c>
      <c r="S12" s="3"/>
      <c r="U12" s="3">
        <f>SUM(U2:U11)</f>
        <v>18887.8</v>
      </c>
      <c r="V12" s="3"/>
      <c r="W12" t="s">
        <v>12</v>
      </c>
      <c r="X12" s="3"/>
      <c r="Y12" s="3"/>
      <c r="AD12" s="3"/>
    </row>
    <row r="13" spans="1:30" x14ac:dyDescent="0.35">
      <c r="A13" s="1">
        <v>44409</v>
      </c>
      <c r="B13" s="3">
        <v>2470.5</v>
      </c>
      <c r="C13" s="1">
        <v>44409</v>
      </c>
      <c r="D13" s="3">
        <f>2007+140</f>
        <v>2147</v>
      </c>
      <c r="E13" s="3">
        <f t="shared" si="0"/>
        <v>4617.5</v>
      </c>
      <c r="F13" s="1">
        <v>44409</v>
      </c>
      <c r="G13" s="3">
        <v>3017.75</v>
      </c>
      <c r="H13" s="3"/>
      <c r="I13" s="3"/>
      <c r="J13" s="3"/>
      <c r="K13" s="9" t="s">
        <v>107</v>
      </c>
      <c r="L13" s="3"/>
      <c r="M13" s="3"/>
      <c r="N13" s="9" t="s">
        <v>76</v>
      </c>
      <c r="O13" s="3">
        <v>4111.45</v>
      </c>
      <c r="P13" s="3"/>
      <c r="Q13" s="1">
        <v>44531</v>
      </c>
      <c r="R13" s="3">
        <v>3032.66</v>
      </c>
      <c r="S13" s="3"/>
      <c r="U13" s="7">
        <f>U1-U12</f>
        <v>-737.79999999999927</v>
      </c>
      <c r="V13" s="3"/>
      <c r="W13" t="s">
        <v>13</v>
      </c>
      <c r="X13" s="3"/>
      <c r="Y13" s="3"/>
      <c r="AD13" s="3"/>
    </row>
    <row r="14" spans="1:30" x14ac:dyDescent="0.35">
      <c r="A14" s="1">
        <v>44440</v>
      </c>
      <c r="B14" s="3">
        <v>2399.5</v>
      </c>
      <c r="C14" s="1">
        <v>44440</v>
      </c>
      <c r="D14" s="3">
        <f>2292+240+125</f>
        <v>2657</v>
      </c>
      <c r="E14" s="3">
        <f t="shared" si="0"/>
        <v>5056.5</v>
      </c>
      <c r="F14" s="1">
        <v>44440</v>
      </c>
      <c r="G14" s="3">
        <v>3774.34</v>
      </c>
      <c r="H14" s="3"/>
      <c r="I14" s="3"/>
      <c r="J14" s="3"/>
      <c r="K14" s="9" t="s">
        <v>99</v>
      </c>
      <c r="L14" s="3"/>
      <c r="M14" s="3"/>
      <c r="N14" s="9" t="s">
        <v>77</v>
      </c>
      <c r="O14" s="3">
        <v>3921.32</v>
      </c>
      <c r="P14" s="3"/>
      <c r="Q14" s="9" t="s">
        <v>33</v>
      </c>
      <c r="R14" s="7">
        <v>139.4</v>
      </c>
      <c r="S14" s="3"/>
      <c r="V14" s="3"/>
      <c r="W14" s="3" t="s">
        <v>32</v>
      </c>
      <c r="X14" s="3"/>
      <c r="Y14" s="3"/>
      <c r="AB14" s="3"/>
      <c r="AD14" s="3"/>
    </row>
    <row r="15" spans="1:30" x14ac:dyDescent="0.35">
      <c r="A15" s="1">
        <v>44470</v>
      </c>
      <c r="B15" s="3">
        <v>1985.3</v>
      </c>
      <c r="C15" s="1">
        <v>44470</v>
      </c>
      <c r="D15" s="3">
        <f>3135+180</f>
        <v>3315</v>
      </c>
      <c r="E15" s="3">
        <f t="shared" si="0"/>
        <v>5300.3</v>
      </c>
      <c r="F15" s="1">
        <v>44470</v>
      </c>
      <c r="G15" s="3">
        <v>3492.27</v>
      </c>
      <c r="H15" s="3"/>
      <c r="I15" s="3"/>
      <c r="J15" s="3"/>
      <c r="K15" s="9" t="s">
        <v>100</v>
      </c>
      <c r="L15" s="3"/>
      <c r="M15" s="3"/>
      <c r="N15" s="9" t="s">
        <v>78</v>
      </c>
      <c r="O15" s="3">
        <v>4320</v>
      </c>
      <c r="P15" s="3"/>
      <c r="Q15" s="9" t="s">
        <v>29</v>
      </c>
      <c r="R15" s="3">
        <v>2112</v>
      </c>
      <c r="S15" s="3"/>
      <c r="T15" s="11" t="s">
        <v>62</v>
      </c>
      <c r="V15" s="3"/>
      <c r="W15" t="s">
        <v>31</v>
      </c>
      <c r="X15" s="3"/>
      <c r="Y15" s="3"/>
      <c r="AB15" s="3"/>
      <c r="AD15" s="3"/>
    </row>
    <row r="16" spans="1:30" ht="15.5" x14ac:dyDescent="0.35">
      <c r="A16" s="1">
        <v>44501</v>
      </c>
      <c r="B16" s="3">
        <v>2355.3000000000002</v>
      </c>
      <c r="C16" s="1">
        <v>44501</v>
      </c>
      <c r="D16" s="3">
        <f>1878+90</f>
        <v>1968</v>
      </c>
      <c r="E16" s="3">
        <f t="shared" si="0"/>
        <v>4323.3</v>
      </c>
      <c r="F16" s="1">
        <v>44501</v>
      </c>
      <c r="G16" s="3">
        <v>2147.85</v>
      </c>
      <c r="H16" s="3"/>
      <c r="I16" s="3"/>
      <c r="J16" s="3"/>
      <c r="K16" s="8" t="s">
        <v>108</v>
      </c>
      <c r="L16" s="3"/>
      <c r="M16" s="3"/>
      <c r="N16" s="9" t="s">
        <v>79</v>
      </c>
      <c r="O16" s="3">
        <v>4256</v>
      </c>
      <c r="P16" s="3"/>
      <c r="Q16" s="9" t="s">
        <v>34</v>
      </c>
      <c r="R16" s="3">
        <v>2426.5300000000002</v>
      </c>
      <c r="S16" s="3"/>
      <c r="T16" s="2" t="s">
        <v>24</v>
      </c>
      <c r="U16" s="4">
        <v>13150</v>
      </c>
      <c r="V16" s="3"/>
      <c r="W16" t="s">
        <v>56</v>
      </c>
      <c r="X16" s="3"/>
      <c r="Y16" s="3"/>
      <c r="AB16" s="3"/>
      <c r="AD16" s="3"/>
    </row>
    <row r="17" spans="1:30" x14ac:dyDescent="0.35">
      <c r="A17" s="1">
        <v>44531</v>
      </c>
      <c r="B17" s="3">
        <v>2112</v>
      </c>
      <c r="C17" s="1">
        <v>44531</v>
      </c>
      <c r="D17" s="3">
        <f>2628+180+120</f>
        <v>2928</v>
      </c>
      <c r="E17" s="3">
        <f t="shared" si="0"/>
        <v>5040</v>
      </c>
      <c r="F17" s="1">
        <v>44531</v>
      </c>
      <c r="G17" s="3">
        <v>3032.66</v>
      </c>
      <c r="H17" s="3"/>
      <c r="I17" s="3"/>
      <c r="J17" s="3"/>
      <c r="K17" s="8"/>
      <c r="L17" s="3"/>
      <c r="M17" s="3"/>
      <c r="N17" s="9" t="s">
        <v>80</v>
      </c>
      <c r="O17" s="3">
        <v>3738.53</v>
      </c>
      <c r="P17" s="3"/>
      <c r="Q17" s="9" t="s">
        <v>35</v>
      </c>
      <c r="R17" s="3">
        <f>2184+180+125</f>
        <v>2489</v>
      </c>
      <c r="S17" s="3"/>
      <c r="T17" t="s">
        <v>30</v>
      </c>
      <c r="U17" s="7">
        <v>737.8</v>
      </c>
      <c r="V17" s="3"/>
      <c r="X17" s="3"/>
      <c r="Y17" s="3"/>
      <c r="AB17" s="3"/>
      <c r="AD17" s="3"/>
    </row>
    <row r="18" spans="1:30" x14ac:dyDescent="0.35">
      <c r="A18" s="1">
        <v>44562</v>
      </c>
      <c r="B18" s="3">
        <v>2484.9</v>
      </c>
      <c r="C18" s="1">
        <v>44562</v>
      </c>
      <c r="D18" s="3">
        <f>2184+180+125</f>
        <v>2489</v>
      </c>
      <c r="E18" s="3">
        <f t="shared" si="0"/>
        <v>4973.8999999999996</v>
      </c>
      <c r="F18" s="1">
        <v>44562</v>
      </c>
      <c r="G18" s="3">
        <v>2426.5300000000002</v>
      </c>
      <c r="H18" s="3"/>
      <c r="I18" s="3"/>
      <c r="J18" s="3"/>
      <c r="K18" s="8"/>
      <c r="L18" s="3"/>
      <c r="M18" s="3"/>
      <c r="N18" s="9" t="s">
        <v>81</v>
      </c>
      <c r="O18" s="3">
        <v>3588</v>
      </c>
      <c r="P18" s="3"/>
      <c r="Q18" s="9" t="s">
        <v>36</v>
      </c>
      <c r="R18" s="3">
        <v>2484.9</v>
      </c>
      <c r="S18" s="3"/>
      <c r="T18" t="s">
        <v>20</v>
      </c>
      <c r="U18" s="10">
        <f>3135+180</f>
        <v>3315</v>
      </c>
      <c r="V18" s="3"/>
      <c r="W18" s="3" t="s">
        <v>14</v>
      </c>
      <c r="X18" s="3"/>
      <c r="Y18" s="3"/>
      <c r="AB18" s="3"/>
      <c r="AD18" s="3"/>
    </row>
    <row r="19" spans="1:30" x14ac:dyDescent="0.35">
      <c r="A19" s="1">
        <v>44593</v>
      </c>
      <c r="B19" s="3">
        <v>4191.5</v>
      </c>
      <c r="C19" s="1">
        <v>44593</v>
      </c>
      <c r="D19" s="3">
        <f>3444+120</f>
        <v>3564</v>
      </c>
      <c r="E19" s="3">
        <f t="shared" si="0"/>
        <v>7755.5</v>
      </c>
      <c r="F19" s="1">
        <v>44593</v>
      </c>
      <c r="G19" s="3">
        <v>2872.53</v>
      </c>
      <c r="H19" s="3"/>
      <c r="I19" s="3"/>
      <c r="J19" s="3"/>
      <c r="K19" s="8"/>
      <c r="L19" s="3"/>
      <c r="M19" s="3"/>
      <c r="N19" s="9" t="s">
        <v>82</v>
      </c>
      <c r="O19" s="3">
        <v>4245.6499999999996</v>
      </c>
      <c r="P19" s="3"/>
      <c r="Q19" s="9" t="s">
        <v>37</v>
      </c>
      <c r="R19" s="3">
        <v>2872.53</v>
      </c>
      <c r="S19" s="3"/>
      <c r="T19" t="s">
        <v>26</v>
      </c>
      <c r="U19" s="3">
        <v>1985.3</v>
      </c>
      <c r="V19" s="3"/>
      <c r="W19" s="3"/>
      <c r="X19" s="3"/>
      <c r="Y19" s="3"/>
      <c r="AB19" s="3"/>
      <c r="AD19" s="3"/>
    </row>
    <row r="20" spans="1:30" x14ac:dyDescent="0.35">
      <c r="A20" s="1">
        <v>44621</v>
      </c>
      <c r="B20" s="3">
        <v>2801.3</v>
      </c>
      <c r="C20" s="1">
        <v>44621</v>
      </c>
      <c r="D20" s="3">
        <v>4890</v>
      </c>
      <c r="E20" s="3">
        <f t="shared" si="0"/>
        <v>7691.3</v>
      </c>
      <c r="F20" s="1">
        <v>44621</v>
      </c>
      <c r="G20" s="3">
        <v>4590.1099999999997</v>
      </c>
      <c r="H20" s="3"/>
      <c r="I20" s="3"/>
      <c r="J20" s="3"/>
      <c r="K20" s="8"/>
      <c r="L20" s="3"/>
      <c r="M20" s="3"/>
      <c r="N20" s="9" t="s">
        <v>83</v>
      </c>
      <c r="O20" s="3">
        <v>3419.72</v>
      </c>
      <c r="P20" s="3"/>
      <c r="Q20" s="9" t="s">
        <v>38</v>
      </c>
      <c r="R20" s="3">
        <f>3444+120</f>
        <v>3564</v>
      </c>
      <c r="S20" s="3"/>
      <c r="T20" t="s">
        <v>25</v>
      </c>
      <c r="U20" s="3">
        <f>1878+90</f>
        <v>1968</v>
      </c>
      <c r="V20" s="3"/>
      <c r="W20" s="3" t="s">
        <v>53</v>
      </c>
      <c r="X20" s="3"/>
      <c r="Y20" s="3"/>
      <c r="AB20" s="3"/>
      <c r="AD20" s="3"/>
    </row>
    <row r="21" spans="1:30" x14ac:dyDescent="0.35">
      <c r="A21" s="1">
        <v>44652</v>
      </c>
      <c r="B21" s="3">
        <v>2654.5</v>
      </c>
      <c r="C21" s="1">
        <v>44652</v>
      </c>
      <c r="D21" s="3">
        <f>180+3276+120</f>
        <v>3576</v>
      </c>
      <c r="E21" s="3">
        <f t="shared" si="0"/>
        <v>6230.5</v>
      </c>
      <c r="F21" s="1">
        <v>44652</v>
      </c>
      <c r="G21" s="3">
        <v>5282.77</v>
      </c>
      <c r="H21" s="3"/>
      <c r="I21" s="3"/>
      <c r="J21" s="3"/>
      <c r="K21" s="8"/>
      <c r="L21" s="3"/>
      <c r="M21" s="3"/>
      <c r="N21" s="9" t="s">
        <v>84</v>
      </c>
      <c r="O21" s="3">
        <f>1824+180</f>
        <v>2004</v>
      </c>
      <c r="P21" s="3"/>
      <c r="Q21" s="9" t="s">
        <v>39</v>
      </c>
      <c r="R21" s="3">
        <v>4191.5</v>
      </c>
      <c r="S21" s="3"/>
      <c r="T21" t="s">
        <v>27</v>
      </c>
      <c r="U21" s="3">
        <v>2355.3000000000002</v>
      </c>
      <c r="V21" s="3"/>
      <c r="W21" s="3" t="s">
        <v>54</v>
      </c>
      <c r="X21" s="3"/>
      <c r="Y21" s="3"/>
      <c r="AB21" s="3"/>
      <c r="AD21" s="3"/>
    </row>
    <row r="22" spans="1:30" ht="15" thickBot="1" x14ac:dyDescent="0.4">
      <c r="A22" s="1">
        <v>44682</v>
      </c>
      <c r="B22" s="3">
        <v>2374.1</v>
      </c>
      <c r="C22" s="1">
        <v>44682</v>
      </c>
      <c r="D22" s="3">
        <f>3692+180</f>
        <v>3872</v>
      </c>
      <c r="E22" s="3">
        <f t="shared" si="0"/>
        <v>6246.1</v>
      </c>
      <c r="F22" s="1">
        <v>44682</v>
      </c>
      <c r="G22" s="3">
        <v>6185.38</v>
      </c>
      <c r="H22" s="3"/>
      <c r="I22" s="3"/>
      <c r="J22" s="3"/>
      <c r="K22" s="8"/>
      <c r="L22" s="3"/>
      <c r="M22" s="3"/>
      <c r="N22" s="9" t="s">
        <v>85</v>
      </c>
      <c r="O22" s="3">
        <v>2561.3000000000002</v>
      </c>
      <c r="P22" s="3"/>
      <c r="Q22" s="9" t="s">
        <v>40</v>
      </c>
      <c r="R22" s="3">
        <v>4590.1099999999997</v>
      </c>
      <c r="S22" s="3"/>
      <c r="T22" t="s">
        <v>28</v>
      </c>
      <c r="U22" s="6">
        <f>2628+180+120</f>
        <v>2928</v>
      </c>
      <c r="V22" s="3"/>
      <c r="X22" s="18"/>
      <c r="Y22" s="3"/>
      <c r="AB22" s="3"/>
      <c r="AD22" s="3"/>
    </row>
    <row r="23" spans="1:30" ht="15" thickTop="1" x14ac:dyDescent="0.35">
      <c r="A23" s="1">
        <v>44713</v>
      </c>
      <c r="B23" s="3">
        <v>3507</v>
      </c>
      <c r="C23" s="1">
        <v>44713</v>
      </c>
      <c r="D23" s="3">
        <v>2770</v>
      </c>
      <c r="E23" s="3">
        <f t="shared" si="0"/>
        <v>6277</v>
      </c>
      <c r="F23" s="1">
        <v>44713</v>
      </c>
      <c r="G23" s="3">
        <v>4243.07</v>
      </c>
      <c r="H23" s="3"/>
      <c r="I23" s="3"/>
      <c r="J23" s="3"/>
      <c r="K23" s="8"/>
      <c r="L23" s="3"/>
      <c r="M23" s="3"/>
      <c r="N23" s="9" t="s">
        <v>88</v>
      </c>
      <c r="O23" s="3">
        <v>2975.65</v>
      </c>
      <c r="P23" s="3"/>
      <c r="Q23" s="9" t="s">
        <v>43</v>
      </c>
      <c r="R23" s="3">
        <v>5282.78</v>
      </c>
      <c r="S23" s="3"/>
      <c r="U23" s="3">
        <f>SUM(U17:U22)</f>
        <v>13289.400000000001</v>
      </c>
      <c r="V23" s="3"/>
      <c r="W23" s="3" t="s">
        <v>86</v>
      </c>
      <c r="Y23" s="3"/>
      <c r="AB23" s="3"/>
      <c r="AD23" s="3"/>
    </row>
    <row r="24" spans="1:30" ht="15" thickBot="1" x14ac:dyDescent="0.4">
      <c r="A24" s="1">
        <v>44743</v>
      </c>
      <c r="B24" s="3">
        <v>2371.4</v>
      </c>
      <c r="C24" s="1">
        <v>44743</v>
      </c>
      <c r="D24" s="3">
        <v>2178</v>
      </c>
      <c r="E24" s="3">
        <f t="shared" si="0"/>
        <v>4549.3999999999996</v>
      </c>
      <c r="F24" s="1">
        <v>44743</v>
      </c>
      <c r="G24" s="3">
        <v>4798.18</v>
      </c>
      <c r="K24" s="9"/>
      <c r="L24" s="6"/>
      <c r="N24" s="9" t="s">
        <v>89</v>
      </c>
      <c r="O24" s="3">
        <v>1183.1300000000001</v>
      </c>
      <c r="Q24" s="9" t="s">
        <v>46</v>
      </c>
      <c r="R24" s="3">
        <v>6185.38</v>
      </c>
      <c r="U24" s="7">
        <f>U16-U23</f>
        <v>-139.40000000000146</v>
      </c>
    </row>
    <row r="25" spans="1:30" ht="16" thickTop="1" x14ac:dyDescent="0.35">
      <c r="A25" s="1">
        <v>44774</v>
      </c>
      <c r="B25" s="3">
        <v>2480.9499999999998</v>
      </c>
      <c r="C25" s="1">
        <v>44774</v>
      </c>
      <c r="D25" s="3">
        <v>4515</v>
      </c>
      <c r="E25" s="3">
        <f t="shared" si="0"/>
        <v>6995.95</v>
      </c>
      <c r="F25" s="1">
        <v>44774</v>
      </c>
      <c r="G25" s="3">
        <v>4578.6899999999996</v>
      </c>
      <c r="L25" s="28">
        <f>SUM(L2:L24)</f>
        <v>9294.35</v>
      </c>
      <c r="N25" s="9" t="s">
        <v>90</v>
      </c>
      <c r="Q25" s="9" t="s">
        <v>49</v>
      </c>
      <c r="R25" s="3">
        <v>4243.07</v>
      </c>
      <c r="T25" s="21"/>
      <c r="W25" s="26" t="s">
        <v>58</v>
      </c>
      <c r="X25" s="3"/>
    </row>
    <row r="26" spans="1:30" ht="15" thickBot="1" x14ac:dyDescent="0.4">
      <c r="A26" s="1">
        <v>44805</v>
      </c>
      <c r="B26" s="3">
        <v>4111.45</v>
      </c>
      <c r="C26" s="1">
        <v>44805</v>
      </c>
      <c r="D26" s="3">
        <v>3936</v>
      </c>
      <c r="E26" s="3">
        <f t="shared" si="0"/>
        <v>8047.45</v>
      </c>
      <c r="F26" s="1">
        <v>44805</v>
      </c>
      <c r="G26" s="3">
        <v>3598.24</v>
      </c>
      <c r="L26" s="3"/>
      <c r="N26" s="9" t="s">
        <v>101</v>
      </c>
      <c r="Q26" s="9" t="s">
        <v>67</v>
      </c>
      <c r="R26" s="6">
        <v>4798.18</v>
      </c>
      <c r="T26" s="11" t="s">
        <v>63</v>
      </c>
      <c r="W26" s="23" t="s">
        <v>60</v>
      </c>
      <c r="X26" s="3">
        <v>825</v>
      </c>
      <c r="Z26" s="14"/>
    </row>
    <row r="27" spans="1:30" ht="16" thickTop="1" x14ac:dyDescent="0.35">
      <c r="A27" s="1">
        <v>44835</v>
      </c>
      <c r="B27" s="3">
        <v>4256</v>
      </c>
      <c r="C27" s="1">
        <v>44835</v>
      </c>
      <c r="D27" s="3">
        <v>4320</v>
      </c>
      <c r="E27" s="3">
        <f t="shared" si="0"/>
        <v>8576</v>
      </c>
      <c r="F27" s="1">
        <v>44835</v>
      </c>
      <c r="G27" s="3">
        <v>3921.32</v>
      </c>
      <c r="L27" s="3"/>
      <c r="N27" s="9" t="s">
        <v>102</v>
      </c>
      <c r="R27" s="3">
        <f>SUM(R2:R26)</f>
        <v>75685.320000000007</v>
      </c>
      <c r="T27" s="2" t="s">
        <v>55</v>
      </c>
      <c r="U27" s="20">
        <f>3400+4967.2+14311</f>
        <v>22678.2</v>
      </c>
      <c r="W27" s="23" t="s">
        <v>59</v>
      </c>
      <c r="X27" s="10">
        <v>4950</v>
      </c>
    </row>
    <row r="28" spans="1:30" x14ac:dyDescent="0.35">
      <c r="A28" s="1">
        <v>44866</v>
      </c>
      <c r="B28" s="3">
        <v>4245.6499999999996</v>
      </c>
      <c r="C28" s="1">
        <v>44866</v>
      </c>
      <c r="D28" s="3">
        <v>3588</v>
      </c>
      <c r="E28" s="3">
        <f t="shared" si="0"/>
        <v>7833.65</v>
      </c>
      <c r="F28" s="1">
        <v>44866</v>
      </c>
      <c r="G28" s="3">
        <v>3738.53</v>
      </c>
      <c r="L28" s="3"/>
      <c r="N28" s="9"/>
      <c r="Q28" s="19"/>
      <c r="R28" s="7">
        <f>R1-R27</f>
        <v>-4319.320000000007</v>
      </c>
      <c r="T28" s="9" t="s">
        <v>41</v>
      </c>
      <c r="U28" s="3">
        <v>4890</v>
      </c>
      <c r="W28" s="17"/>
    </row>
    <row r="29" spans="1:30" x14ac:dyDescent="0.35">
      <c r="A29" s="1">
        <v>44896</v>
      </c>
      <c r="B29" s="3">
        <v>2561.3000000000002</v>
      </c>
      <c r="C29" s="1">
        <v>44896</v>
      </c>
      <c r="D29" s="3">
        <f>1824+180</f>
        <v>2004</v>
      </c>
      <c r="E29" s="3">
        <f t="shared" si="0"/>
        <v>4565.3</v>
      </c>
      <c r="F29" s="1">
        <v>44896</v>
      </c>
      <c r="G29" s="3">
        <v>3419.72</v>
      </c>
      <c r="L29" s="3"/>
      <c r="Q29" s="9"/>
      <c r="T29" s="9" t="s">
        <v>42</v>
      </c>
      <c r="U29" s="3">
        <v>2801.3</v>
      </c>
      <c r="W29" s="17"/>
      <c r="Z29" s="14"/>
    </row>
    <row r="30" spans="1:30" x14ac:dyDescent="0.35">
      <c r="A30" s="1">
        <v>44927</v>
      </c>
      <c r="B30" s="3">
        <v>2992.35</v>
      </c>
      <c r="C30" s="1">
        <v>44927</v>
      </c>
      <c r="D30" s="3">
        <v>2864</v>
      </c>
      <c r="E30" s="3">
        <f t="shared" si="0"/>
        <v>5856.35</v>
      </c>
      <c r="F30" s="1">
        <v>44927</v>
      </c>
      <c r="G30" s="3">
        <v>2975.65</v>
      </c>
      <c r="H30" s="1">
        <v>44927</v>
      </c>
      <c r="N30" s="29"/>
      <c r="R30" s="3"/>
      <c r="T30" s="9" t="s">
        <v>44</v>
      </c>
      <c r="U30" s="3">
        <f>180+3276+120</f>
        <v>3576</v>
      </c>
      <c r="W30" s="15"/>
    </row>
    <row r="31" spans="1:30" ht="15" thickBot="1" x14ac:dyDescent="0.4">
      <c r="A31" s="1">
        <v>44958</v>
      </c>
      <c r="B31" s="28">
        <v>2130</v>
      </c>
      <c r="C31" s="1">
        <v>44958</v>
      </c>
      <c r="D31" s="28">
        <v>1308</v>
      </c>
      <c r="E31" s="28">
        <f t="shared" si="0"/>
        <v>3438</v>
      </c>
      <c r="F31" s="1">
        <v>44958</v>
      </c>
      <c r="G31" s="3">
        <v>1183.1300000000001</v>
      </c>
      <c r="H31" s="1">
        <v>44958</v>
      </c>
      <c r="O31" s="27"/>
      <c r="T31" s="9" t="s">
        <v>45</v>
      </c>
      <c r="U31" s="3">
        <v>2654.5</v>
      </c>
      <c r="W31" s="16"/>
      <c r="X31" s="3"/>
    </row>
    <row r="32" spans="1:30" ht="15" thickTop="1" x14ac:dyDescent="0.35">
      <c r="A32" s="1">
        <v>44986</v>
      </c>
      <c r="C32" s="1">
        <v>44986</v>
      </c>
      <c r="D32" s="3"/>
      <c r="E32" s="3"/>
      <c r="F32" s="1">
        <v>44986</v>
      </c>
      <c r="H32" s="1">
        <v>44986</v>
      </c>
      <c r="O32" s="10">
        <f>SUM(O2:O31)</f>
        <v>77438.349999999991</v>
      </c>
      <c r="T32" s="9" t="s">
        <v>47</v>
      </c>
      <c r="U32" s="3">
        <f>3692+180</f>
        <v>3872</v>
      </c>
      <c r="W32" s="16"/>
    </row>
    <row r="33" spans="1:23" ht="15" thickBot="1" x14ac:dyDescent="0.4">
      <c r="A33" s="1">
        <v>45017</v>
      </c>
      <c r="C33" s="1">
        <v>45017</v>
      </c>
      <c r="D33" s="3"/>
      <c r="E33" s="3"/>
      <c r="F33" s="1">
        <v>45017</v>
      </c>
      <c r="H33" s="1">
        <v>45017</v>
      </c>
      <c r="R33" s="3"/>
      <c r="T33" s="9" t="s">
        <v>48</v>
      </c>
      <c r="U33" s="6">
        <v>2374.1</v>
      </c>
      <c r="W33" s="16"/>
    </row>
    <row r="34" spans="1:23" ht="15" thickTop="1" x14ac:dyDescent="0.35">
      <c r="A34" s="1">
        <v>45047</v>
      </c>
      <c r="C34" s="1">
        <v>45047</v>
      </c>
      <c r="D34" s="3"/>
      <c r="E34" s="3"/>
      <c r="F34" s="1">
        <v>45047</v>
      </c>
      <c r="H34" s="1">
        <v>45047</v>
      </c>
      <c r="K34" s="31" t="s">
        <v>110</v>
      </c>
      <c r="L34" s="24">
        <f>L1-L25</f>
        <v>77705.649999999994</v>
      </c>
      <c r="N34" t="s">
        <v>110</v>
      </c>
      <c r="O34" s="10">
        <f>O1-O32</f>
        <v>22561.650000000009</v>
      </c>
      <c r="U34" s="3">
        <f>SUM(U28:U33)</f>
        <v>20167.899999999998</v>
      </c>
    </row>
    <row r="35" spans="1:23" x14ac:dyDescent="0.35">
      <c r="A35" s="1">
        <v>45078</v>
      </c>
      <c r="C35" s="1">
        <v>45078</v>
      </c>
      <c r="D35" s="3"/>
      <c r="E35" s="3"/>
      <c r="F35" s="1">
        <v>45078</v>
      </c>
      <c r="H35" s="1">
        <v>45078</v>
      </c>
      <c r="U35" s="7">
        <v>2345.59</v>
      </c>
      <c r="V35" s="3" t="s">
        <v>66</v>
      </c>
    </row>
    <row r="36" spans="1:23" ht="15" thickBot="1" x14ac:dyDescent="0.4">
      <c r="K36" s="32" t="s">
        <v>111</v>
      </c>
      <c r="L36" s="28">
        <f>AVERAGE(E26:E31)</f>
        <v>6386.125</v>
      </c>
      <c r="N36" s="9" t="s">
        <v>112</v>
      </c>
      <c r="O36" s="3">
        <f>AVERAGE(G26:G31)</f>
        <v>3139.4316666666668</v>
      </c>
      <c r="U36" s="25">
        <v>33290.5</v>
      </c>
      <c r="V36" t="s">
        <v>64</v>
      </c>
    </row>
    <row r="37" spans="1:23" ht="15" thickTop="1" x14ac:dyDescent="0.35">
      <c r="A37" s="31" t="s">
        <v>115</v>
      </c>
      <c r="B37" s="31"/>
      <c r="C37" s="31"/>
      <c r="D37" s="31"/>
      <c r="E37" s="31"/>
      <c r="I37" s="31"/>
      <c r="J37" s="31"/>
      <c r="K37" s="32" t="s">
        <v>113</v>
      </c>
      <c r="L37" s="33">
        <f>L34/L36</f>
        <v>12.167887412163086</v>
      </c>
      <c r="N37" s="9" t="s">
        <v>113</v>
      </c>
      <c r="O37" s="35">
        <f>O34/O36</f>
        <v>7.1865396019130872</v>
      </c>
      <c r="U37" s="7">
        <f>SUM(U35:U36)</f>
        <v>35636.089999999997</v>
      </c>
      <c r="V37" t="s">
        <v>65</v>
      </c>
    </row>
    <row r="38" spans="1:23" x14ac:dyDescent="0.35">
      <c r="K38" s="32" t="s">
        <v>114</v>
      </c>
      <c r="L38" s="34">
        <f>A30+(L37*30)</f>
        <v>45292.036622364896</v>
      </c>
      <c r="N38" s="9" t="s">
        <v>114</v>
      </c>
      <c r="O38" s="1">
        <f>A30+(O37*30)</f>
        <v>45142.596188057396</v>
      </c>
    </row>
    <row r="53" spans="18:18" x14ac:dyDescent="0.35">
      <c r="R53" t="s">
        <v>116</v>
      </c>
    </row>
    <row r="56" spans="18:18" x14ac:dyDescent="0.35">
      <c r="R56" t="s">
        <v>118</v>
      </c>
    </row>
    <row r="59" spans="18:18" x14ac:dyDescent="0.35">
      <c r="R59" t="s">
        <v>117</v>
      </c>
    </row>
  </sheetData>
  <mergeCells count="4">
    <mergeCell ref="C1:D1"/>
    <mergeCell ref="F1:G1"/>
    <mergeCell ref="A1:B1"/>
    <mergeCell ref="H1:I1"/>
  </mergeCells>
  <pageMargins left="0.7" right="0.7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2023-04-13T17:46:14Z</dcterms:modified>
</cp:coreProperties>
</file>